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idshah/Library/Mobile Documents/com~apple~CloudDocs/Projects/Coinbase Research/Phase 3 - Consolidation &amp; Modeling/"/>
    </mc:Choice>
  </mc:AlternateContent>
  <xr:revisionPtr revIDLastSave="0" documentId="13_ncr:1_{DE6ECED5-8B91-B74A-AECC-EC3E870515BC}" xr6:coauthVersionLast="47" xr6:coauthVersionMax="47" xr10:uidLastSave="{00000000-0000-0000-0000-000000000000}"/>
  <bookViews>
    <workbookView xWindow="0" yWindow="600" windowWidth="28800" windowHeight="17400" tabRatio="500" xr2:uid="{00000000-000D-0000-FFFF-FFFF00000000}"/>
  </bookViews>
  <sheets>
    <sheet name="Cover" sheetId="19" r:id="rId1"/>
    <sheet name="Assumptions" sheetId="13" r:id="rId2"/>
    <sheet name="Income Statement" sheetId="3" r:id="rId3"/>
    <sheet name="Balance Sheet" sheetId="4" r:id="rId4"/>
    <sheet name="Cash Flow Statement" sheetId="5" r:id="rId5"/>
    <sheet name="DCF Model" sheetId="17" r:id="rId6"/>
    <sheet name="USDC Scenarios" sheetId="14" r:id="rId7"/>
    <sheet name="Deribit Acquisition" sheetId="9" r:id="rId8"/>
    <sheet name="Supporting Schedules" sheetId="18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9" l="1"/>
  <c r="K12" i="3"/>
  <c r="L12" i="3"/>
  <c r="M12" i="3"/>
  <c r="N12" i="3"/>
  <c r="J12" i="3"/>
  <c r="D48" i="13"/>
  <c r="C48" i="13"/>
  <c r="I39" i="3"/>
  <c r="H39" i="3"/>
  <c r="G39" i="3"/>
  <c r="F39" i="3"/>
  <c r="E39" i="3"/>
  <c r="D39" i="3"/>
  <c r="C39" i="3"/>
  <c r="I13" i="3"/>
  <c r="H13" i="3"/>
  <c r="G13" i="3"/>
  <c r="F13" i="3"/>
  <c r="E13" i="3"/>
  <c r="D13" i="3"/>
  <c r="C13" i="3"/>
  <c r="C25" i="14"/>
  <c r="C23" i="14"/>
  <c r="C22" i="14"/>
  <c r="H17" i="14"/>
  <c r="F17" i="14"/>
  <c r="D17" i="14"/>
  <c r="H16" i="14"/>
  <c r="F16" i="14"/>
  <c r="D16" i="14"/>
  <c r="H15" i="14"/>
  <c r="F15" i="14"/>
  <c r="D15" i="14"/>
  <c r="C9" i="14"/>
  <c r="C8" i="14"/>
  <c r="C49" i="4"/>
  <c r="D49" i="4"/>
  <c r="E49" i="4"/>
  <c r="F49" i="4"/>
  <c r="G49" i="4"/>
  <c r="H49" i="4"/>
  <c r="I49" i="4"/>
  <c r="I37" i="13"/>
  <c r="H37" i="13"/>
  <c r="G37" i="13"/>
  <c r="F37" i="13"/>
  <c r="E37" i="13"/>
  <c r="B36" i="19"/>
  <c r="C66" i="17"/>
  <c r="C9" i="17"/>
  <c r="C52" i="17"/>
  <c r="N40" i="4"/>
  <c r="M40" i="4"/>
  <c r="L40" i="4"/>
  <c r="K40" i="4"/>
  <c r="J40" i="4"/>
  <c r="N33" i="4"/>
  <c r="M33" i="4"/>
  <c r="L33" i="4"/>
  <c r="K33" i="4"/>
  <c r="J33" i="4"/>
  <c r="E105" i="13" s="1"/>
  <c r="J15" i="5" s="1"/>
  <c r="N28" i="4"/>
  <c r="M28" i="4"/>
  <c r="L28" i="4"/>
  <c r="K28" i="4"/>
  <c r="J28" i="4"/>
  <c r="N19" i="4"/>
  <c r="M19" i="4"/>
  <c r="L19" i="4"/>
  <c r="K19" i="4"/>
  <c r="J19" i="4"/>
  <c r="E115" i="13" s="1"/>
  <c r="J25" i="5" s="1"/>
  <c r="N18" i="4"/>
  <c r="M18" i="4"/>
  <c r="L18" i="4"/>
  <c r="K18" i="4"/>
  <c r="J18" i="4"/>
  <c r="E114" i="13" s="1"/>
  <c r="J24" i="5" s="1"/>
  <c r="N15" i="4"/>
  <c r="M15" i="4"/>
  <c r="L15" i="4"/>
  <c r="K15" i="4"/>
  <c r="J15" i="4"/>
  <c r="I26" i="5"/>
  <c r="H26" i="5"/>
  <c r="G26" i="5"/>
  <c r="F26" i="5"/>
  <c r="E26" i="5"/>
  <c r="D26" i="5"/>
  <c r="C26" i="5"/>
  <c r="I17" i="5"/>
  <c r="H17" i="5"/>
  <c r="G17" i="5"/>
  <c r="F17" i="5"/>
  <c r="E17" i="5"/>
  <c r="D17" i="5"/>
  <c r="C17" i="5"/>
  <c r="D115" i="13"/>
  <c r="C115" i="13"/>
  <c r="D114" i="13"/>
  <c r="C114" i="13"/>
  <c r="D105" i="13"/>
  <c r="C105" i="13"/>
  <c r="D104" i="13"/>
  <c r="C104" i="13"/>
  <c r="D96" i="13"/>
  <c r="C96" i="13"/>
  <c r="D95" i="13"/>
  <c r="C95" i="13"/>
  <c r="N30" i="3"/>
  <c r="M30" i="3"/>
  <c r="L30" i="3"/>
  <c r="K30" i="3"/>
  <c r="J30" i="3"/>
  <c r="J34" i="9"/>
  <c r="N18" i="17"/>
  <c r="N17" i="17"/>
  <c r="N16" i="17"/>
  <c r="G28" i="17"/>
  <c r="F28" i="17"/>
  <c r="E28" i="17"/>
  <c r="D28" i="17"/>
  <c r="C28" i="17"/>
  <c r="N33" i="5"/>
  <c r="M33" i="5"/>
  <c r="L33" i="5"/>
  <c r="K33" i="5"/>
  <c r="J33" i="5"/>
  <c r="N32" i="5"/>
  <c r="M32" i="5"/>
  <c r="L32" i="5"/>
  <c r="K32" i="5"/>
  <c r="J32" i="5"/>
  <c r="N31" i="5"/>
  <c r="M31" i="5"/>
  <c r="L31" i="5"/>
  <c r="K31" i="5"/>
  <c r="J31" i="5"/>
  <c r="N29" i="5"/>
  <c r="M29" i="5"/>
  <c r="L29" i="5"/>
  <c r="K29" i="5"/>
  <c r="J29" i="5"/>
  <c r="N37" i="3"/>
  <c r="M37" i="3"/>
  <c r="L37" i="3"/>
  <c r="C89" i="13"/>
  <c r="D89" i="13"/>
  <c r="J21" i="18"/>
  <c r="I21" i="18"/>
  <c r="H21" i="18"/>
  <c r="G21" i="18"/>
  <c r="F21" i="18"/>
  <c r="E21" i="18"/>
  <c r="D21" i="18"/>
  <c r="D24" i="18" s="1"/>
  <c r="C24" i="18"/>
  <c r="J12" i="18"/>
  <c r="J50" i="18"/>
  <c r="N12" i="18"/>
  <c r="M12" i="18"/>
  <c r="L12" i="18"/>
  <c r="K12" i="18"/>
  <c r="N10" i="18"/>
  <c r="N11" i="18" s="1"/>
  <c r="I91" i="13" s="1"/>
  <c r="M10" i="18"/>
  <c r="M11" i="18" s="1"/>
  <c r="L10" i="18"/>
  <c r="L11" i="18" s="1"/>
  <c r="K10" i="18"/>
  <c r="J10" i="18"/>
  <c r="D122" i="13"/>
  <c r="C122" i="13"/>
  <c r="D121" i="13"/>
  <c r="C121" i="13"/>
  <c r="D120" i="13"/>
  <c r="C120" i="13"/>
  <c r="D119" i="13"/>
  <c r="C119" i="13"/>
  <c r="D118" i="13"/>
  <c r="C118" i="13"/>
  <c r="D112" i="13"/>
  <c r="C112" i="13"/>
  <c r="D111" i="13"/>
  <c r="C111" i="13"/>
  <c r="D110" i="13"/>
  <c r="C110" i="13"/>
  <c r="D109" i="13"/>
  <c r="C109" i="13"/>
  <c r="D106" i="13"/>
  <c r="C106" i="13"/>
  <c r="D103" i="13"/>
  <c r="C103" i="13"/>
  <c r="D102" i="13"/>
  <c r="C102" i="13"/>
  <c r="D101" i="13"/>
  <c r="C101" i="13"/>
  <c r="D100" i="13"/>
  <c r="C100" i="13"/>
  <c r="D94" i="13"/>
  <c r="C94" i="13"/>
  <c r="D93" i="13"/>
  <c r="C93" i="13"/>
  <c r="D92" i="13"/>
  <c r="D86" i="13"/>
  <c r="C86" i="13"/>
  <c r="D85" i="13"/>
  <c r="C85" i="13"/>
  <c r="D84" i="13"/>
  <c r="C84" i="13"/>
  <c r="D83" i="13"/>
  <c r="C83" i="13"/>
  <c r="D80" i="13"/>
  <c r="C80" i="13"/>
  <c r="D78" i="13"/>
  <c r="C78" i="13"/>
  <c r="D74" i="13"/>
  <c r="C74" i="13"/>
  <c r="D72" i="13"/>
  <c r="C72" i="13"/>
  <c r="D73" i="13"/>
  <c r="C73" i="13"/>
  <c r="D66" i="13"/>
  <c r="C66" i="13"/>
  <c r="D65" i="13"/>
  <c r="C65" i="13"/>
  <c r="D61" i="13"/>
  <c r="C61" i="13"/>
  <c r="E60" i="13"/>
  <c r="J29" i="3" s="1"/>
  <c r="D60" i="13"/>
  <c r="C60" i="13"/>
  <c r="E58" i="13"/>
  <c r="D58" i="13"/>
  <c r="C58" i="13"/>
  <c r="E41" i="13"/>
  <c r="F41" i="13"/>
  <c r="G41" i="13"/>
  <c r="H41" i="13"/>
  <c r="I41" i="13"/>
  <c r="F25" i="13"/>
  <c r="G25" i="13"/>
  <c r="H25" i="13"/>
  <c r="I25" i="13"/>
  <c r="C24" i="13"/>
  <c r="D24" i="13"/>
  <c r="G22" i="13"/>
  <c r="H22" i="13"/>
  <c r="I22" i="13"/>
  <c r="E19" i="13"/>
  <c r="F19" i="13"/>
  <c r="G19" i="13"/>
  <c r="H19" i="13"/>
  <c r="I19" i="13"/>
  <c r="E16" i="13"/>
  <c r="J5" i="3" s="1"/>
  <c r="F16" i="13"/>
  <c r="K5" i="3" s="1"/>
  <c r="G16" i="13"/>
  <c r="L5" i="3" s="1"/>
  <c r="H16" i="13"/>
  <c r="M5" i="3" s="1"/>
  <c r="I16" i="13"/>
  <c r="N5" i="3" s="1"/>
  <c r="D44" i="13"/>
  <c r="C44" i="13"/>
  <c r="D45" i="13"/>
  <c r="C45" i="13"/>
  <c r="I47" i="13"/>
  <c r="I45" i="13" s="1"/>
  <c r="H47" i="13"/>
  <c r="H45" i="13" s="1"/>
  <c r="G47" i="13"/>
  <c r="G45" i="13" s="1"/>
  <c r="F47" i="13"/>
  <c r="F45" i="13" s="1"/>
  <c r="E47" i="13"/>
  <c r="E45" i="13" s="1"/>
  <c r="D47" i="13"/>
  <c r="C47" i="13"/>
  <c r="D37" i="13"/>
  <c r="C37" i="13"/>
  <c r="D32" i="13"/>
  <c r="C32" i="13"/>
  <c r="D39" i="13"/>
  <c r="C39" i="13"/>
  <c r="E28" i="13"/>
  <c r="E25" i="13" s="1"/>
  <c r="D25" i="13"/>
  <c r="D29" i="13" s="1"/>
  <c r="C25" i="13"/>
  <c r="C29" i="13" s="1"/>
  <c r="D22" i="13"/>
  <c r="C22" i="13"/>
  <c r="D40" i="13"/>
  <c r="C40" i="13"/>
  <c r="D19" i="13"/>
  <c r="D21" i="13" s="1"/>
  <c r="C19" i="13"/>
  <c r="C21" i="13" s="1"/>
  <c r="D16" i="13"/>
  <c r="D18" i="13" s="1"/>
  <c r="C16" i="13"/>
  <c r="C18" i="13" s="1"/>
  <c r="I7" i="13"/>
  <c r="I32" i="13" s="1"/>
  <c r="H7" i="13"/>
  <c r="H32" i="13" s="1"/>
  <c r="G7" i="13"/>
  <c r="G32" i="13" s="1"/>
  <c r="F7" i="13"/>
  <c r="F32" i="13" s="1"/>
  <c r="E7" i="13"/>
  <c r="E32" i="13" s="1"/>
  <c r="D7" i="13"/>
  <c r="C7" i="13"/>
  <c r="N39" i="18"/>
  <c r="M39" i="18"/>
  <c r="L39" i="18"/>
  <c r="K39" i="18"/>
  <c r="J39" i="18"/>
  <c r="N33" i="18"/>
  <c r="N34" i="18" s="1"/>
  <c r="M33" i="18"/>
  <c r="M34" i="18" s="1"/>
  <c r="L33" i="18"/>
  <c r="L34" i="18" s="1"/>
  <c r="K33" i="18"/>
  <c r="K34" i="18" s="1"/>
  <c r="J33" i="18"/>
  <c r="J34" i="18" s="1"/>
  <c r="N10" i="4"/>
  <c r="M10" i="4"/>
  <c r="L10" i="4"/>
  <c r="K10" i="4"/>
  <c r="J10" i="4"/>
  <c r="E104" i="13" s="1"/>
  <c r="J14" i="5" s="1"/>
  <c r="N7" i="4"/>
  <c r="M7" i="4"/>
  <c r="L7" i="4"/>
  <c r="K7" i="4"/>
  <c r="J7" i="4"/>
  <c r="N24" i="3"/>
  <c r="M24" i="3"/>
  <c r="L24" i="3"/>
  <c r="K24" i="3"/>
  <c r="J24" i="3"/>
  <c r="C51" i="18"/>
  <c r="D51" i="18"/>
  <c r="E51" i="18"/>
  <c r="F51" i="18"/>
  <c r="G51" i="18"/>
  <c r="H51" i="18"/>
  <c r="I51" i="18"/>
  <c r="C42" i="18"/>
  <c r="D42" i="18"/>
  <c r="E42" i="18"/>
  <c r="F42" i="18"/>
  <c r="G42" i="18"/>
  <c r="H42" i="18"/>
  <c r="I42" i="18"/>
  <c r="C11" i="18"/>
  <c r="C13" i="18" s="1"/>
  <c r="D11" i="18"/>
  <c r="D13" i="18" s="1"/>
  <c r="E11" i="18"/>
  <c r="E13" i="18" s="1"/>
  <c r="F11" i="18"/>
  <c r="F13" i="18" s="1"/>
  <c r="G11" i="18"/>
  <c r="G13" i="18" s="1"/>
  <c r="H11" i="18"/>
  <c r="H13" i="18" s="1"/>
  <c r="I11" i="18"/>
  <c r="J16" i="18" s="1"/>
  <c r="J17" i="18" s="1"/>
  <c r="C53" i="4"/>
  <c r="C52" i="4"/>
  <c r="C41" i="4"/>
  <c r="D41" i="4"/>
  <c r="E41" i="4"/>
  <c r="F41" i="4"/>
  <c r="G41" i="4"/>
  <c r="H41" i="4"/>
  <c r="I41" i="4"/>
  <c r="D25" i="9"/>
  <c r="D24" i="9"/>
  <c r="D23" i="9"/>
  <c r="D22" i="9"/>
  <c r="D21" i="9"/>
  <c r="D20" i="9"/>
  <c r="D19" i="9"/>
  <c r="I34" i="9"/>
  <c r="H34" i="9"/>
  <c r="I60" i="13" s="1"/>
  <c r="N29" i="3" s="1"/>
  <c r="G34" i="9"/>
  <c r="H60" i="13" s="1"/>
  <c r="M29" i="3" s="1"/>
  <c r="F34" i="9"/>
  <c r="G60" i="13" s="1"/>
  <c r="L29" i="3" s="1"/>
  <c r="E34" i="9"/>
  <c r="F60" i="13" s="1"/>
  <c r="K29" i="3" s="1"/>
  <c r="D34" i="9"/>
  <c r="C34" i="9"/>
  <c r="F23" i="9"/>
  <c r="F22" i="9"/>
  <c r="F21" i="9"/>
  <c r="F20" i="9"/>
  <c r="D26" i="9"/>
  <c r="E15" i="9"/>
  <c r="D15" i="9"/>
  <c r="F14" i="9"/>
  <c r="F13" i="9"/>
  <c r="I34" i="5"/>
  <c r="H34" i="5"/>
  <c r="G34" i="5"/>
  <c r="F34" i="5"/>
  <c r="E34" i="5"/>
  <c r="D34" i="5"/>
  <c r="C34" i="5"/>
  <c r="I45" i="4"/>
  <c r="D91" i="13" s="1"/>
  <c r="H45" i="4"/>
  <c r="G45" i="4"/>
  <c r="G46" i="4" s="1"/>
  <c r="F45" i="4"/>
  <c r="F46" i="4" s="1"/>
  <c r="E45" i="4"/>
  <c r="E46" i="4" s="1"/>
  <c r="D45" i="4"/>
  <c r="D46" i="4" s="1"/>
  <c r="C45" i="4"/>
  <c r="C46" i="4" s="1"/>
  <c r="I34" i="4"/>
  <c r="H34" i="4"/>
  <c r="G34" i="4"/>
  <c r="F34" i="4"/>
  <c r="E34" i="4"/>
  <c r="D34" i="4"/>
  <c r="C34" i="4"/>
  <c r="I29" i="4"/>
  <c r="I35" i="4" s="1"/>
  <c r="H29" i="4"/>
  <c r="H35" i="4" s="1"/>
  <c r="G29" i="4"/>
  <c r="G35" i="4" s="1"/>
  <c r="F29" i="4"/>
  <c r="E29" i="4"/>
  <c r="E35" i="4" s="1"/>
  <c r="D29" i="4"/>
  <c r="D35" i="4" s="1"/>
  <c r="C29" i="4"/>
  <c r="C35" i="4" s="1"/>
  <c r="I20" i="4"/>
  <c r="H20" i="4"/>
  <c r="G20" i="4"/>
  <c r="F20" i="4"/>
  <c r="E20" i="4"/>
  <c r="D20" i="4"/>
  <c r="C20" i="4"/>
  <c r="I11" i="4"/>
  <c r="H11" i="4"/>
  <c r="H21" i="4" s="1"/>
  <c r="G11" i="4"/>
  <c r="G21" i="4" s="1"/>
  <c r="F11" i="4"/>
  <c r="F21" i="4" s="1"/>
  <c r="E11" i="4"/>
  <c r="E21" i="4" s="1"/>
  <c r="D11" i="4"/>
  <c r="D21" i="4" s="1"/>
  <c r="C11" i="4"/>
  <c r="C50" i="3"/>
  <c r="I31" i="3"/>
  <c r="H31" i="3"/>
  <c r="G31" i="3"/>
  <c r="F31" i="3"/>
  <c r="E31" i="3"/>
  <c r="D31" i="3"/>
  <c r="C31" i="3"/>
  <c r="I25" i="3"/>
  <c r="H25" i="3"/>
  <c r="G25" i="3"/>
  <c r="F25" i="3"/>
  <c r="E25" i="3"/>
  <c r="D25" i="3"/>
  <c r="C25" i="3"/>
  <c r="J16" i="5" l="1"/>
  <c r="D75" i="13"/>
  <c r="C75" i="13"/>
  <c r="C21" i="14"/>
  <c r="C24" i="14" s="1"/>
  <c r="C26" i="14" s="1"/>
  <c r="C10" i="14"/>
  <c r="D53" i="4"/>
  <c r="H91" i="13"/>
  <c r="M32" i="4" s="1"/>
  <c r="N16" i="18"/>
  <c r="N17" i="18" s="1"/>
  <c r="G91" i="13"/>
  <c r="M16" i="18"/>
  <c r="M17" i="18" s="1"/>
  <c r="L32" i="4"/>
  <c r="H46" i="4"/>
  <c r="C92" i="13"/>
  <c r="C91" i="13"/>
  <c r="C10" i="17"/>
  <c r="G104" i="13"/>
  <c r="L14" i="5" s="1"/>
  <c r="H104" i="13"/>
  <c r="M14" i="5" s="1"/>
  <c r="M16" i="5"/>
  <c r="N16" i="5"/>
  <c r="N32" i="4"/>
  <c r="L16" i="5"/>
  <c r="K16" i="5"/>
  <c r="I105" i="13"/>
  <c r="N15" i="5" s="1"/>
  <c r="H105" i="13"/>
  <c r="M15" i="5" s="1"/>
  <c r="G105" i="13"/>
  <c r="L15" i="5" s="1"/>
  <c r="F105" i="13"/>
  <c r="K15" i="5" s="1"/>
  <c r="I115" i="13"/>
  <c r="N25" i="5" s="1"/>
  <c r="H115" i="13"/>
  <c r="M25" i="5" s="1"/>
  <c r="G115" i="13"/>
  <c r="L25" i="5" s="1"/>
  <c r="F115" i="13"/>
  <c r="K25" i="5" s="1"/>
  <c r="I114" i="13"/>
  <c r="N24" i="5" s="1"/>
  <c r="H114" i="13"/>
  <c r="M24" i="5" s="1"/>
  <c r="G114" i="13"/>
  <c r="L24" i="5" s="1"/>
  <c r="F114" i="13"/>
  <c r="K24" i="5" s="1"/>
  <c r="I104" i="13"/>
  <c r="N14" i="5" s="1"/>
  <c r="F104" i="13"/>
  <c r="K14" i="5" s="1"/>
  <c r="C16" i="17"/>
  <c r="D66" i="17"/>
  <c r="K50" i="18"/>
  <c r="J17" i="4"/>
  <c r="N15" i="17"/>
  <c r="J9" i="5"/>
  <c r="F26" i="9"/>
  <c r="E62" i="13"/>
  <c r="J16" i="4" s="1"/>
  <c r="J23" i="18"/>
  <c r="E24" i="18"/>
  <c r="J28" i="18"/>
  <c r="J29" i="18" s="1"/>
  <c r="N11" i="3"/>
  <c r="M11" i="3"/>
  <c r="L11" i="3"/>
  <c r="K11" i="3"/>
  <c r="J11" i="3"/>
  <c r="N8" i="3"/>
  <c r="M8" i="3"/>
  <c r="L8" i="3"/>
  <c r="K8" i="3"/>
  <c r="J8" i="3"/>
  <c r="D59" i="13"/>
  <c r="D62" i="13"/>
  <c r="C62" i="13"/>
  <c r="C59" i="13"/>
  <c r="N9" i="3"/>
  <c r="M9" i="3"/>
  <c r="L9" i="3"/>
  <c r="K9" i="3"/>
  <c r="J9" i="3"/>
  <c r="J7" i="3"/>
  <c r="K7" i="3"/>
  <c r="N7" i="3"/>
  <c r="M7" i="3"/>
  <c r="L7" i="3"/>
  <c r="K6" i="3"/>
  <c r="J6" i="3"/>
  <c r="N6" i="3"/>
  <c r="M6" i="3"/>
  <c r="L6" i="3"/>
  <c r="B38" i="19"/>
  <c r="J51" i="18"/>
  <c r="I13" i="18"/>
  <c r="F35" i="4"/>
  <c r="I46" i="4"/>
  <c r="C17" i="17"/>
  <c r="F15" i="9"/>
  <c r="I36" i="5"/>
  <c r="I39" i="5"/>
  <c r="H36" i="5"/>
  <c r="H39" i="5"/>
  <c r="H40" i="5" s="1"/>
  <c r="G36" i="5"/>
  <c r="G39" i="5"/>
  <c r="G40" i="5" s="1"/>
  <c r="F36" i="5"/>
  <c r="F39" i="5"/>
  <c r="F40" i="5" s="1"/>
  <c r="E36" i="5"/>
  <c r="E39" i="5"/>
  <c r="E40" i="5" s="1"/>
  <c r="D36" i="5"/>
  <c r="D39" i="5"/>
  <c r="D40" i="5" s="1"/>
  <c r="C21" i="4"/>
  <c r="D52" i="4" s="1"/>
  <c r="I21" i="4"/>
  <c r="C39" i="5"/>
  <c r="C40" i="5" s="1"/>
  <c r="C36" i="5"/>
  <c r="K17" i="4" l="1"/>
  <c r="K9" i="5" s="1"/>
  <c r="L50" i="18"/>
  <c r="D63" i="17"/>
  <c r="O19" i="17" s="1"/>
  <c r="C63" i="17"/>
  <c r="N19" i="17" s="1"/>
  <c r="F24" i="18"/>
  <c r="K28" i="18"/>
  <c r="K29" i="18" s="1"/>
  <c r="K51" i="18"/>
  <c r="I40" i="5"/>
  <c r="C61" i="17"/>
  <c r="D61" i="17"/>
  <c r="N20" i="17" l="1"/>
  <c r="F28" i="19"/>
  <c r="L17" i="4"/>
  <c r="L9" i="5" s="1"/>
  <c r="M50" i="18"/>
  <c r="G24" i="18"/>
  <c r="L28" i="18"/>
  <c r="L51" i="18"/>
  <c r="M17" i="4" l="1"/>
  <c r="M9" i="5" s="1"/>
  <c r="N50" i="18"/>
  <c r="H24" i="18"/>
  <c r="I24" i="18" s="1"/>
  <c r="L29" i="18"/>
  <c r="M28" i="18"/>
  <c r="M29" i="18" s="1"/>
  <c r="C25" i="19"/>
  <c r="C24" i="19"/>
  <c r="C31" i="19"/>
  <c r="C18" i="17"/>
  <c r="M51" i="18"/>
  <c r="N17" i="4" l="1"/>
  <c r="N9" i="5" s="1"/>
  <c r="N51" i="18"/>
  <c r="N28" i="18"/>
  <c r="C19" i="17"/>
  <c r="C20" i="17"/>
  <c r="N29" i="18" l="1"/>
  <c r="C23" i="17"/>
  <c r="N6" i="17" s="1"/>
  <c r="D38" i="17" l="1"/>
  <c r="E38" i="17"/>
  <c r="C38" i="17"/>
  <c r="C34" i="19"/>
  <c r="F38" i="17"/>
  <c r="G38" i="17"/>
  <c r="J37" i="3" l="1"/>
  <c r="C17" i="3" l="1"/>
  <c r="C33" i="3" s="1"/>
  <c r="C46" i="3" l="1"/>
  <c r="C18" i="3"/>
  <c r="C34" i="3"/>
  <c r="C49" i="18" l="1"/>
  <c r="C41" i="3"/>
  <c r="C42" i="3" s="1"/>
  <c r="C47" i="3"/>
  <c r="C48" i="3"/>
  <c r="C49" i="3" s="1"/>
  <c r="D17" i="3" l="1"/>
  <c r="D50" i="3"/>
  <c r="D33" i="3" l="1"/>
  <c r="D18" i="3"/>
  <c r="D34" i="3" l="1"/>
  <c r="D46" i="3"/>
  <c r="D48" i="3" l="1"/>
  <c r="D49" i="3" s="1"/>
  <c r="D47" i="3"/>
  <c r="D49" i="18"/>
  <c r="D41" i="3"/>
  <c r="D42" i="3" s="1"/>
  <c r="E50" i="3" l="1"/>
  <c r="E17" i="3"/>
  <c r="F50" i="3"/>
  <c r="E33" i="3" l="1"/>
  <c r="E34" i="3" s="1"/>
  <c r="E18" i="3"/>
  <c r="F17" i="3"/>
  <c r="E46" i="3" l="1"/>
  <c r="F18" i="3"/>
  <c r="F33" i="3"/>
  <c r="E47" i="3" l="1"/>
  <c r="E48" i="3"/>
  <c r="E49" i="18"/>
  <c r="E41" i="3"/>
  <c r="F34" i="3"/>
  <c r="F46" i="3"/>
  <c r="E49" i="3" l="1"/>
  <c r="E42" i="3"/>
  <c r="F47" i="3"/>
  <c r="F48" i="3"/>
  <c r="F41" i="3"/>
  <c r="F49" i="18"/>
  <c r="F49" i="3" l="1"/>
  <c r="F42" i="3"/>
  <c r="H50" i="3"/>
  <c r="H17" i="3" l="1"/>
  <c r="C90" i="13"/>
  <c r="C71" i="13"/>
  <c r="C55" i="13"/>
  <c r="C54" i="13"/>
  <c r="C53" i="13"/>
  <c r="C52" i="13"/>
  <c r="G50" i="3"/>
  <c r="G17" i="3"/>
  <c r="H18" i="3" l="1"/>
  <c r="C51" i="13" s="1"/>
  <c r="H33" i="3"/>
  <c r="H46" i="3" s="1"/>
  <c r="G33" i="3"/>
  <c r="G18" i="3"/>
  <c r="H34" i="3" l="1"/>
  <c r="D90" i="13"/>
  <c r="D71" i="13"/>
  <c r="D55" i="13"/>
  <c r="D54" i="13"/>
  <c r="D53" i="13"/>
  <c r="D52" i="13"/>
  <c r="G34" i="3"/>
  <c r="G46" i="3"/>
  <c r="H47" i="3"/>
  <c r="H48" i="3"/>
  <c r="I17" i="3"/>
  <c r="C17" i="19"/>
  <c r="I50" i="3"/>
  <c r="B6" i="19"/>
  <c r="C28" i="19"/>
  <c r="H49" i="18" l="1"/>
  <c r="C67" i="13" s="1"/>
  <c r="H41" i="3"/>
  <c r="H42" i="3" s="1"/>
  <c r="I33" i="3"/>
  <c r="I18" i="3"/>
  <c r="D51" i="13" s="1"/>
  <c r="G41" i="3"/>
  <c r="G49" i="18"/>
  <c r="G47" i="3"/>
  <c r="G48" i="3"/>
  <c r="H49" i="3"/>
  <c r="I41" i="3" l="1"/>
  <c r="I46" i="3"/>
  <c r="I34" i="3"/>
  <c r="G42" i="3"/>
  <c r="G49" i="3"/>
  <c r="I49" i="18"/>
  <c r="D67" i="13" s="1"/>
  <c r="I47" i="3" l="1"/>
  <c r="I48" i="3"/>
  <c r="C18" i="19"/>
  <c r="C30" i="19"/>
  <c r="I42" i="3"/>
  <c r="I49" i="3" l="1"/>
  <c r="C20" i="19" s="1"/>
  <c r="C19" i="19"/>
  <c r="C29" i="19"/>
  <c r="E40" i="13"/>
  <c r="J10" i="3" s="1"/>
  <c r="J13" i="3" s="1"/>
  <c r="F40" i="13"/>
  <c r="K10" i="3" s="1"/>
  <c r="K13" i="3" s="1"/>
  <c r="G40" i="13"/>
  <c r="L10" i="3" s="1"/>
  <c r="L13" i="3" s="1"/>
  <c r="G89" i="13" s="1"/>
  <c r="H40" i="13"/>
  <c r="M10" i="3" s="1"/>
  <c r="M13" i="3" s="1"/>
  <c r="H89" i="13" s="1"/>
  <c r="I40" i="13"/>
  <c r="N10" i="3" s="1"/>
  <c r="N13" i="3" s="1"/>
  <c r="I89" i="13" s="1"/>
  <c r="J28" i="3"/>
  <c r="J31" i="3" s="1"/>
  <c r="L20" i="5" l="1"/>
  <c r="L26" i="5" s="1"/>
  <c r="G109" i="13"/>
  <c r="M20" i="5"/>
  <c r="M26" i="5" s="1"/>
  <c r="H109" i="13"/>
  <c r="N20" i="5"/>
  <c r="N26" i="5" s="1"/>
  <c r="I109" i="13"/>
  <c r="F89" i="13"/>
  <c r="F109" i="13" s="1"/>
  <c r="K8" i="4"/>
  <c r="E89" i="13"/>
  <c r="E109" i="13" s="1"/>
  <c r="J8" i="4"/>
  <c r="L22" i="18"/>
  <c r="E31" i="17"/>
  <c r="M22" i="18"/>
  <c r="F31" i="17"/>
  <c r="N22" i="18"/>
  <c r="G31" i="17"/>
  <c r="L38" i="18"/>
  <c r="M38" i="18"/>
  <c r="N38" i="18"/>
  <c r="J38" i="18"/>
  <c r="J32" i="18"/>
  <c r="K38" i="18"/>
  <c r="K32" i="18"/>
  <c r="K50" i="3"/>
  <c r="J45" i="3"/>
  <c r="D17" i="19"/>
  <c r="D28" i="19"/>
  <c r="J50" i="3"/>
  <c r="J16" i="3"/>
  <c r="J21" i="3"/>
  <c r="J22" i="3"/>
  <c r="J23" i="3"/>
  <c r="L50" i="3"/>
  <c r="E17" i="19"/>
  <c r="E28" i="19"/>
  <c r="K16" i="3"/>
  <c r="K21" i="3"/>
  <c r="K22" i="3"/>
  <c r="K23" i="3"/>
  <c r="K45" i="3"/>
  <c r="L16" i="3"/>
  <c r="L22" i="3"/>
  <c r="L45" i="3"/>
  <c r="L8" i="5" s="1"/>
  <c r="L21" i="3"/>
  <c r="L23" i="3"/>
  <c r="L8" i="4"/>
  <c r="M50" i="3"/>
  <c r="L32" i="18"/>
  <c r="N50" i="3"/>
  <c r="M32" i="18"/>
  <c r="M16" i="3"/>
  <c r="M21" i="3"/>
  <c r="M22" i="3"/>
  <c r="M23" i="3"/>
  <c r="M45" i="3"/>
  <c r="M8" i="5" s="1"/>
  <c r="M8" i="4"/>
  <c r="N16" i="3"/>
  <c r="N21" i="3"/>
  <c r="N22" i="3"/>
  <c r="N23" i="3"/>
  <c r="N45" i="3"/>
  <c r="N8" i="5" s="1"/>
  <c r="N8" i="4"/>
  <c r="N32" i="18"/>
  <c r="C30" i="17"/>
  <c r="J7" i="5"/>
  <c r="J20" i="5" l="1"/>
  <c r="J26" i="5" s="1"/>
  <c r="J22" i="18"/>
  <c r="F58" i="13"/>
  <c r="N11" i="5"/>
  <c r="L11" i="5"/>
  <c r="M11" i="5"/>
  <c r="K20" i="5"/>
  <c r="K26" i="5" s="1"/>
  <c r="K22" i="18"/>
  <c r="D31" i="17" s="1"/>
  <c r="K11" i="5"/>
  <c r="J11" i="5"/>
  <c r="J40" i="18"/>
  <c r="J17" i="3"/>
  <c r="J18" i="3" s="1"/>
  <c r="K17" i="3"/>
  <c r="K40" i="18"/>
  <c r="J8" i="5"/>
  <c r="J38" i="4" s="1"/>
  <c r="E72" i="13"/>
  <c r="J26" i="4" s="1"/>
  <c r="F72" i="13"/>
  <c r="K26" i="4" s="1"/>
  <c r="K8" i="5"/>
  <c r="J25" i="3"/>
  <c r="E74" i="13" s="1"/>
  <c r="L25" i="3"/>
  <c r="G74" i="13" s="1"/>
  <c r="K25" i="3"/>
  <c r="F74" i="13" s="1"/>
  <c r="N25" i="3"/>
  <c r="I74" i="13" s="1"/>
  <c r="M25" i="3"/>
  <c r="H74" i="13" s="1"/>
  <c r="G72" i="13"/>
  <c r="L17" i="3"/>
  <c r="H72" i="13"/>
  <c r="M17" i="3"/>
  <c r="I72" i="13"/>
  <c r="N17" i="3"/>
  <c r="J24" i="18" l="1"/>
  <c r="C31" i="17"/>
  <c r="K23" i="18"/>
  <c r="K28" i="3" s="1"/>
  <c r="K31" i="3" s="1"/>
  <c r="F62" i="13"/>
  <c r="K16" i="4" s="1"/>
  <c r="G58" i="13"/>
  <c r="K38" i="4"/>
  <c r="L38" i="4" s="1"/>
  <c r="M38" i="4" s="1"/>
  <c r="N38" i="4" s="1"/>
  <c r="K33" i="3"/>
  <c r="K18" i="3"/>
  <c r="J33" i="3"/>
  <c r="J39" i="3" s="1"/>
  <c r="L41" i="18"/>
  <c r="L27" i="4"/>
  <c r="K27" i="4"/>
  <c r="K41" i="18"/>
  <c r="K42" i="18" s="1"/>
  <c r="N27" i="4"/>
  <c r="N41" i="18"/>
  <c r="M27" i="4"/>
  <c r="M41" i="18"/>
  <c r="L26" i="4"/>
  <c r="L40" i="18"/>
  <c r="L18" i="3"/>
  <c r="L33" i="3"/>
  <c r="L39" i="3" s="1"/>
  <c r="M26" i="4"/>
  <c r="M40" i="18"/>
  <c r="M18" i="3"/>
  <c r="M33" i="3"/>
  <c r="M39" i="3" s="1"/>
  <c r="N40" i="18"/>
  <c r="N26" i="4"/>
  <c r="N18" i="3"/>
  <c r="N33" i="3"/>
  <c r="N39" i="3" s="1"/>
  <c r="K21" i="18" l="1"/>
  <c r="K24" i="18" s="1"/>
  <c r="J14" i="4"/>
  <c r="J20" i="4" s="1"/>
  <c r="H58" i="13"/>
  <c r="I58" i="13" s="1"/>
  <c r="G62" i="13"/>
  <c r="L16" i="4" s="1"/>
  <c r="M16" i="4" s="1"/>
  <c r="L23" i="18"/>
  <c r="L28" i="3" s="1"/>
  <c r="N13" i="5"/>
  <c r="L13" i="5"/>
  <c r="M13" i="5"/>
  <c r="K7" i="5"/>
  <c r="D30" i="17"/>
  <c r="D27" i="17"/>
  <c r="D29" i="17" s="1"/>
  <c r="K46" i="3"/>
  <c r="K34" i="3"/>
  <c r="N42" i="18"/>
  <c r="M42" i="18"/>
  <c r="J46" i="3"/>
  <c r="C27" i="17"/>
  <c r="C29" i="17" s="1"/>
  <c r="J34" i="3"/>
  <c r="J27" i="4"/>
  <c r="J41" i="18"/>
  <c r="J42" i="18" s="1"/>
  <c r="L46" i="3"/>
  <c r="L40" i="3"/>
  <c r="E27" i="17"/>
  <c r="E29" i="17" s="1"/>
  <c r="L34" i="3"/>
  <c r="M40" i="3"/>
  <c r="M46" i="3"/>
  <c r="F27" i="17"/>
  <c r="F29" i="17" s="1"/>
  <c r="M34" i="3"/>
  <c r="N46" i="3"/>
  <c r="N40" i="3"/>
  <c r="G27" i="17"/>
  <c r="G29" i="17" s="1"/>
  <c r="N34" i="3"/>
  <c r="L42" i="18"/>
  <c r="E32" i="17" s="1"/>
  <c r="L21" i="18" l="1"/>
  <c r="L24" i="18" s="1"/>
  <c r="K14" i="4"/>
  <c r="K20" i="4" s="1"/>
  <c r="N23" i="18"/>
  <c r="I62" i="13"/>
  <c r="H62" i="13"/>
  <c r="M23" i="18"/>
  <c r="K13" i="5"/>
  <c r="J13" i="5"/>
  <c r="G32" i="17"/>
  <c r="F32" i="17"/>
  <c r="C32" i="17"/>
  <c r="C33" i="17" s="1"/>
  <c r="D32" i="17"/>
  <c r="D33" i="17" s="1"/>
  <c r="N16" i="4"/>
  <c r="J48" i="18"/>
  <c r="J49" i="18" s="1"/>
  <c r="J40" i="3"/>
  <c r="J41" i="3" s="1"/>
  <c r="J39" i="4" s="1"/>
  <c r="K48" i="3"/>
  <c r="K47" i="3"/>
  <c r="J47" i="3"/>
  <c r="J48" i="3"/>
  <c r="L47" i="3"/>
  <c r="L41" i="3"/>
  <c r="M41" i="3"/>
  <c r="M47" i="3"/>
  <c r="N47" i="3"/>
  <c r="N41" i="3"/>
  <c r="L31" i="3"/>
  <c r="E30" i="17" s="1"/>
  <c r="E33" i="17" s="1"/>
  <c r="L14" i="4" l="1"/>
  <c r="L20" i="4" s="1"/>
  <c r="M21" i="18"/>
  <c r="M24" i="18" s="1"/>
  <c r="C39" i="17"/>
  <c r="C40" i="17" s="1"/>
  <c r="D39" i="17"/>
  <c r="D40" i="17" s="1"/>
  <c r="K49" i="3"/>
  <c r="E20" i="19" s="1"/>
  <c r="E29" i="19"/>
  <c r="E19" i="19"/>
  <c r="D19" i="19"/>
  <c r="J49" i="3"/>
  <c r="D20" i="19" s="1"/>
  <c r="D29" i="19"/>
  <c r="J42" i="3"/>
  <c r="J5" i="5"/>
  <c r="D18" i="19"/>
  <c r="D30" i="19"/>
  <c r="L5" i="5"/>
  <c r="L42" i="3"/>
  <c r="L49" i="18"/>
  <c r="L48" i="18"/>
  <c r="M5" i="5"/>
  <c r="M42" i="3"/>
  <c r="M49" i="18"/>
  <c r="M48" i="18"/>
  <c r="N42" i="3"/>
  <c r="N5" i="5"/>
  <c r="N49" i="18"/>
  <c r="N48" i="18"/>
  <c r="M28" i="3"/>
  <c r="L48" i="3"/>
  <c r="L49" i="3" s="1"/>
  <c r="L7" i="5"/>
  <c r="E39" i="17"/>
  <c r="E40" i="17" s="1"/>
  <c r="J41" i="4" l="1"/>
  <c r="M31" i="3"/>
  <c r="N21" i="18"/>
  <c r="N24" i="18" s="1"/>
  <c r="M14" i="4"/>
  <c r="M20" i="4" s="1"/>
  <c r="N28" i="3" l="1"/>
  <c r="N14" i="4"/>
  <c r="M48" i="3"/>
  <c r="M49" i="3" s="1"/>
  <c r="M7" i="5"/>
  <c r="F30" i="17"/>
  <c r="F33" i="17" s="1"/>
  <c r="F39" i="17" s="1"/>
  <c r="F40" i="17" s="1"/>
  <c r="N31" i="3" l="1"/>
  <c r="N48" i="3" s="1"/>
  <c r="N20" i="4"/>
  <c r="C51" i="17" l="1"/>
  <c r="N49" i="3"/>
  <c r="G30" i="17"/>
  <c r="G33" i="17" s="1"/>
  <c r="N7" i="5"/>
  <c r="C53" i="17" l="1"/>
  <c r="C54" i="17" s="1"/>
  <c r="D59" i="17" s="1"/>
  <c r="C45" i="17"/>
  <c r="C47" i="17" s="1"/>
  <c r="C48" i="17" s="1"/>
  <c r="C59" i="17" s="1"/>
  <c r="G39" i="17"/>
  <c r="G40" i="17" s="1"/>
  <c r="C41" i="17" s="1"/>
  <c r="P36" i="17" s="1"/>
  <c r="P35" i="17" l="1"/>
  <c r="Q36" i="17"/>
  <c r="P37" i="17"/>
  <c r="P38" i="17"/>
  <c r="P34" i="17"/>
  <c r="Q37" i="17"/>
  <c r="Q38" i="17"/>
  <c r="Q34" i="17"/>
  <c r="Q35" i="17"/>
  <c r="R35" i="17"/>
  <c r="N25" i="17"/>
  <c r="O25" i="17"/>
  <c r="P25" i="17"/>
  <c r="Q25" i="17"/>
  <c r="R25" i="17"/>
  <c r="N26" i="17"/>
  <c r="O26" i="17"/>
  <c r="P26" i="17"/>
  <c r="Q26" i="17"/>
  <c r="R26" i="17"/>
  <c r="N27" i="17"/>
  <c r="O27" i="17"/>
  <c r="P27" i="17"/>
  <c r="Q27" i="17"/>
  <c r="R27" i="17"/>
  <c r="N28" i="17"/>
  <c r="O28" i="17"/>
  <c r="P28" i="17"/>
  <c r="Q28" i="17"/>
  <c r="R28" i="17"/>
  <c r="N29" i="17"/>
  <c r="O29" i="17"/>
  <c r="P29" i="17"/>
  <c r="Q29" i="17"/>
  <c r="R29" i="17"/>
  <c r="O35" i="17"/>
  <c r="N34" i="17"/>
  <c r="R36" i="17"/>
  <c r="O38" i="17"/>
  <c r="O36" i="17"/>
  <c r="R34" i="17"/>
  <c r="N36" i="17"/>
  <c r="N38" i="17"/>
  <c r="R38" i="17"/>
  <c r="O37" i="17"/>
  <c r="N35" i="17"/>
  <c r="R37" i="17"/>
  <c r="N37" i="17"/>
  <c r="O34" i="17"/>
  <c r="C58" i="17"/>
  <c r="C60" i="17" s="1"/>
  <c r="O13" i="17"/>
  <c r="D58" i="17"/>
  <c r="D60" i="17" s="1"/>
  <c r="D68" i="17" s="1"/>
  <c r="O12" i="17" s="1"/>
  <c r="N13" i="17"/>
  <c r="C68" i="17" l="1"/>
  <c r="N12" i="17" s="1"/>
  <c r="C62" i="17"/>
  <c r="N7" i="17"/>
  <c r="D62" i="17"/>
  <c r="O7" i="17"/>
  <c r="C64" i="17" l="1"/>
  <c r="N8" i="17"/>
  <c r="O8" i="17"/>
  <c r="D64" i="17"/>
  <c r="J11" i="18"/>
  <c r="K16" i="18" s="1"/>
  <c r="K17" i="18" s="1"/>
  <c r="K37" i="3" s="1"/>
  <c r="K39" i="3" s="1"/>
  <c r="K48" i="18" l="1"/>
  <c r="K49" i="18" s="1"/>
  <c r="K40" i="3"/>
  <c r="K41" i="3" s="1"/>
  <c r="C37" i="19"/>
  <c r="C67" i="17"/>
  <c r="N9" i="17"/>
  <c r="C35" i="19"/>
  <c r="E91" i="13"/>
  <c r="J32" i="4" s="1"/>
  <c r="O9" i="17"/>
  <c r="D67" i="17"/>
  <c r="C36" i="19"/>
  <c r="E18" i="19" l="1"/>
  <c r="E30" i="19"/>
  <c r="K5" i="5"/>
  <c r="K42" i="3"/>
  <c r="K39" i="4"/>
  <c r="N10" i="17"/>
  <c r="C38" i="19"/>
  <c r="D38" i="19"/>
  <c r="O10" i="17"/>
  <c r="K41" i="4" l="1"/>
  <c r="L39" i="4"/>
  <c r="K11" i="18"/>
  <c r="L41" i="4" l="1"/>
  <c r="M39" i="4"/>
  <c r="F91" i="13"/>
  <c r="K32" i="4" s="1"/>
  <c r="L16" i="18"/>
  <c r="L17" i="18" s="1"/>
  <c r="M41" i="4" l="1"/>
  <c r="N39" i="4"/>
  <c r="N41" i="4" s="1"/>
  <c r="J13" i="18"/>
  <c r="J34" i="4" l="1"/>
  <c r="J45" i="4"/>
  <c r="J30" i="5" l="1"/>
  <c r="J34" i="5" s="1"/>
  <c r="K13" i="18"/>
  <c r="K34" i="4"/>
  <c r="K45" i="4" l="1"/>
  <c r="K30" i="5" l="1"/>
  <c r="K34" i="5" s="1"/>
  <c r="L13" i="18"/>
  <c r="M13" i="18" l="1"/>
  <c r="L34" i="4" l="1"/>
  <c r="L45" i="4"/>
  <c r="M45" i="4"/>
  <c r="M34" i="4"/>
  <c r="M30" i="5" l="1"/>
  <c r="M34" i="5" s="1"/>
  <c r="L30" i="5"/>
  <c r="L34" i="5" s="1"/>
  <c r="N13" i="18"/>
  <c r="N34" i="4" l="1"/>
  <c r="N45" i="4"/>
  <c r="N30" i="5" s="1"/>
  <c r="N34" i="5" s="1"/>
  <c r="J17" i="5" l="1"/>
  <c r="J39" i="5" l="1"/>
  <c r="J36" i="5"/>
  <c r="J6" i="4" s="1"/>
  <c r="J40" i="5" l="1"/>
  <c r="D31" i="19"/>
  <c r="J46" i="4"/>
  <c r="K17" i="5"/>
  <c r="K36" i="5" l="1"/>
  <c r="K6" i="4" s="1"/>
  <c r="K39" i="5"/>
  <c r="K40" i="5" l="1"/>
  <c r="E31" i="19"/>
  <c r="K46" i="4"/>
  <c r="L17" i="5"/>
  <c r="L39" i="5" l="1"/>
  <c r="L40" i="5" s="1"/>
  <c r="L36" i="5"/>
  <c r="L6" i="4" s="1"/>
  <c r="L46" i="4" l="1"/>
  <c r="M17" i="5" l="1"/>
  <c r="M36" i="5" l="1"/>
  <c r="M6" i="4" s="1"/>
  <c r="M46" i="4" s="1"/>
  <c r="M39" i="5"/>
  <c r="M40" i="5" s="1"/>
  <c r="N17" i="5" l="1"/>
  <c r="N36" i="5" l="1"/>
  <c r="N6" i="4" s="1"/>
  <c r="N46" i="4" s="1"/>
  <c r="N39" i="5"/>
  <c r="N40" i="5" s="1"/>
  <c r="J9" i="4"/>
  <c r="J11" i="4" s="1"/>
  <c r="J21" i="4" s="1"/>
  <c r="C79" i="13" l="1"/>
  <c r="J25" i="4"/>
  <c r="J29" i="4" s="1"/>
  <c r="J35" i="4" s="1"/>
  <c r="J49" i="4" s="1"/>
  <c r="K9" i="4"/>
  <c r="K25" i="4" l="1"/>
  <c r="K29" i="4" s="1"/>
  <c r="K35" i="4" s="1"/>
  <c r="L9" i="4"/>
  <c r="D79" i="13"/>
  <c r="K11" i="4"/>
  <c r="K21" i="4" s="1"/>
  <c r="K49" i="4" l="1"/>
  <c r="L11" i="4"/>
  <c r="L21" i="4" s="1"/>
  <c r="M9" i="4"/>
  <c r="L25" i="4"/>
  <c r="L29" i="4" s="1"/>
  <c r="L35" i="4" s="1"/>
  <c r="L49" i="4" l="1"/>
  <c r="M11" i="4"/>
  <c r="M21" i="4" s="1"/>
  <c r="N9" i="4"/>
  <c r="M25" i="4"/>
  <c r="M29" i="4" s="1"/>
  <c r="M35" i="4" s="1"/>
  <c r="M49" i="4" l="1"/>
  <c r="N11" i="4"/>
  <c r="N21" i="4" s="1"/>
  <c r="N25" i="4"/>
  <c r="N29" i="4" s="1"/>
  <c r="N35" i="4" s="1"/>
  <c r="N49" i="4" l="1"/>
</calcChain>
</file>

<file path=xl/sharedStrings.xml><?xml version="1.0" encoding="utf-8"?>
<sst xmlns="http://schemas.openxmlformats.org/spreadsheetml/2006/main" count="986" uniqueCount="609">
  <si>
    <t>FY2025A</t>
  </si>
  <si>
    <t>FY2026E</t>
  </si>
  <si>
    <t>FY2027E</t>
  </si>
  <si>
    <t>Coinbase Global Inc. (COIN US) — Income Statement</t>
  </si>
  <si>
    <t>2019A</t>
  </si>
  <si>
    <t>2020A</t>
  </si>
  <si>
    <t>2021A</t>
  </si>
  <si>
    <t>2022A</t>
  </si>
  <si>
    <t>2023A</t>
  </si>
  <si>
    <t>2024A</t>
  </si>
  <si>
    <t>2025A</t>
  </si>
  <si>
    <t>2026E</t>
  </si>
  <si>
    <t>2027E</t>
  </si>
  <si>
    <t>REVENUE</t>
  </si>
  <si>
    <t xml:space="preserve">  Consumer Transaction Revenue</t>
  </si>
  <si>
    <t xml:space="preserve">  Institutional Transaction Revenue</t>
  </si>
  <si>
    <t xml:space="preserve">  Other Transaction Revenue</t>
  </si>
  <si>
    <t xml:space="preserve">  Stablecoin (USDC) Revenue</t>
  </si>
  <si>
    <t xml:space="preserve">  Blockchain Rewards</t>
  </si>
  <si>
    <t xml:space="preserve">  Other Subscription &amp; Services</t>
  </si>
  <si>
    <t xml:space="preserve">  Interest &amp; Finance Income</t>
  </si>
  <si>
    <t>Total Net Revenue</t>
  </si>
  <si>
    <t>COST OF REVENUE</t>
  </si>
  <si>
    <t xml:space="preserve">  Transaction &amp; Cost of Revenue</t>
  </si>
  <si>
    <t>Gross Profit</t>
  </si>
  <si>
    <t xml:space="preserve">  Gross Margin %</t>
  </si>
  <si>
    <t>OPERATING EXPENSES</t>
  </si>
  <si>
    <t xml:space="preserve">  Sales &amp; Marketing</t>
  </si>
  <si>
    <t xml:space="preserve">  Research &amp; Development</t>
  </si>
  <si>
    <t xml:space="preserve">  General &amp; Administrative</t>
  </si>
  <si>
    <t xml:space="preserve">  Other Operating (Income)/Expense</t>
  </si>
  <si>
    <t xml:space="preserve">  Total Operating Expenses</t>
  </si>
  <si>
    <t xml:space="preserve">  Depreciation (PP&amp;E)</t>
  </si>
  <si>
    <t xml:space="preserve">  Amortization — Deribit PPA (ARI)</t>
  </si>
  <si>
    <t xml:space="preserve">  Amortization — Other Intangibles</t>
  </si>
  <si>
    <t xml:space="preserve">  Total D&amp;A</t>
  </si>
  <si>
    <t>GAAP Operating Income (EBIT)</t>
  </si>
  <si>
    <t xml:space="preserve">  EBIT Margin %</t>
  </si>
  <si>
    <t>BELOW THE LINE</t>
  </si>
  <si>
    <t xml:space="preserve">  Interest Expense</t>
  </si>
  <si>
    <t>Pre-Tax Income</t>
  </si>
  <si>
    <t xml:space="preserve">  Income Tax Provision</t>
  </si>
  <si>
    <t>Net Income (GAAP)</t>
  </si>
  <si>
    <t xml:space="preserve">  Net Margin %</t>
  </si>
  <si>
    <t>MEMO</t>
  </si>
  <si>
    <t xml:space="preserve">  Adjusted EBIT (EBIT + SBC + ARI)</t>
  </si>
  <si>
    <t xml:space="preserve">    Adj. EBIT Margin %</t>
  </si>
  <si>
    <t xml:space="preserve">  Adjusted EBITDA (Adj EBIT + D&amp;A)</t>
  </si>
  <si>
    <t xml:space="preserve">    Adj. EBITDA Margin %</t>
  </si>
  <si>
    <t xml:space="preserve">  Revenue YoY Growth %</t>
  </si>
  <si>
    <t>Coinbase Global Inc. (COIN US) — Balance Sheet</t>
  </si>
  <si>
    <t>ASSETS</t>
  </si>
  <si>
    <t xml:space="preserve">  Current Assets</t>
  </si>
  <si>
    <t xml:space="preserve">    Cash &amp; Cash Equivalents</t>
  </si>
  <si>
    <t xml:space="preserve">    Restricted Cash &amp; Equivalents</t>
  </si>
  <si>
    <t xml:space="preserve">    Accounts Receivable, Net</t>
  </si>
  <si>
    <t xml:space="preserve">    Customer Crypto Assets (Receivable)</t>
  </si>
  <si>
    <t xml:space="preserve">    Other Current Assets</t>
  </si>
  <si>
    <t xml:space="preserve">  Total Current Assets</t>
  </si>
  <si>
    <t xml:space="preserve">  Non-Current Assets</t>
  </si>
  <si>
    <t xml:space="preserve">    PP&amp;E, Net</t>
  </si>
  <si>
    <t xml:space="preserve">    Goodwill</t>
  </si>
  <si>
    <t xml:space="preserve">    Intangible Assets, Net</t>
  </si>
  <si>
    <t xml:space="preserve">    Deferred Tax Asset</t>
  </si>
  <si>
    <t xml:space="preserve">    Digital Asset Investments</t>
  </si>
  <si>
    <t xml:space="preserve">    Other Non-Current Assets</t>
  </si>
  <si>
    <t xml:space="preserve">  Total Non-Current Assets</t>
  </si>
  <si>
    <t>TOTAL ASSETS</t>
  </si>
  <si>
    <t>LIABILITIES</t>
  </si>
  <si>
    <t xml:space="preserve">  Current Liabilities</t>
  </si>
  <si>
    <t xml:space="preserve">    Customer Crypto Assets (Payable)</t>
  </si>
  <si>
    <t xml:space="preserve">    Accounts Payable</t>
  </si>
  <si>
    <t xml:space="preserve">    Accrued Liabilities</t>
  </si>
  <si>
    <t xml:space="preserve">    Current Portion of Long-Term Debt</t>
  </si>
  <si>
    <t xml:space="preserve">  Total Current Liabilities</t>
  </si>
  <si>
    <t xml:space="preserve">  Non-Current Liabilities</t>
  </si>
  <si>
    <t xml:space="preserve">    Long-Term Debt</t>
  </si>
  <si>
    <t xml:space="preserve">    Other Non-Current Liabilities</t>
  </si>
  <si>
    <t xml:space="preserve">  Total Non-Current Liabilities</t>
  </si>
  <si>
    <t>TOTAL LIABILITIES</t>
  </si>
  <si>
    <t>SHAREHOLDERS' EQUITY</t>
  </si>
  <si>
    <t xml:space="preserve">    Additional Paid-In Capital (APIC)</t>
  </si>
  <si>
    <t xml:space="preserve">    Retained Earnings / (Deficit)</t>
  </si>
  <si>
    <t xml:space="preserve">    Accumulated OCI &amp; Other</t>
  </si>
  <si>
    <t>TOTAL EQUITY</t>
  </si>
  <si>
    <t xml:space="preserve">  Total Debt (Gross)</t>
  </si>
  <si>
    <t xml:space="preserve">  Net Debt / (Cash)</t>
  </si>
  <si>
    <t>BALANCE CHECK RECONCILIATION</t>
  </si>
  <si>
    <t>Root Cause</t>
  </si>
  <si>
    <t>Coinbase Global Inc. (COIN US) — Cash Flow Statement</t>
  </si>
  <si>
    <t>OPERATING ACTIVITIES</t>
  </si>
  <si>
    <t xml:space="preserve">  Net Income</t>
  </si>
  <si>
    <t xml:space="preserve">  Non-Cash Adjustments</t>
  </si>
  <si>
    <t xml:space="preserve">    Depreciation &amp; Amortization</t>
  </si>
  <si>
    <t xml:space="preserve">    Stock-Based Compensation</t>
  </si>
  <si>
    <t xml:space="preserve">    Deferred Income Taxes</t>
  </si>
  <si>
    <t xml:space="preserve">  Changes in Working Capital</t>
  </si>
  <si>
    <t xml:space="preserve">    (Increase)/Decrease in Accounts Receivable</t>
  </si>
  <si>
    <t xml:space="preserve">    Change in Customer Crypto Deposits (Net)</t>
  </si>
  <si>
    <t xml:space="preserve">    Increase/(Decrease) in AP &amp; Accruals</t>
  </si>
  <si>
    <t xml:space="preserve">    Other Operating Activities</t>
  </si>
  <si>
    <t>Net Cash from Operating Activities</t>
  </si>
  <si>
    <t>INVESTING ACTIVITIES</t>
  </si>
  <si>
    <t xml:space="preserve">  Capital Expenditures</t>
  </si>
  <si>
    <t xml:space="preserve">  Acquisitions &amp; Investments Purchased</t>
  </si>
  <si>
    <t xml:space="preserve">  Proceeds from Investment Sales</t>
  </si>
  <si>
    <t xml:space="preserve">  Other Investing Activities</t>
  </si>
  <si>
    <t>Net Cash from Investing Activities</t>
  </si>
  <si>
    <t>FINANCING ACTIVITIES</t>
  </si>
  <si>
    <t xml:space="preserve">  Proceeds from Debt Issuance</t>
  </si>
  <si>
    <t xml:space="preserve">  Repayment of Debt</t>
  </si>
  <si>
    <t xml:space="preserve">  Share Repurchases (Buybacks)</t>
  </si>
  <si>
    <t xml:space="preserve">  Stock Issuance / ESPP / Employee Options</t>
  </si>
  <si>
    <t xml:space="preserve">  Other Financing Activities</t>
  </si>
  <si>
    <t>Net Cash from Financing Activities</t>
  </si>
  <si>
    <t>NET CHANGE IN CASH</t>
  </si>
  <si>
    <t xml:space="preserve">  Levered FCF (CFO + Capex)</t>
  </si>
  <si>
    <t xml:space="preserve">  FCF Conversion (Lev. FCF / Net Inc.)</t>
  </si>
  <si>
    <t>Other Subscription &amp; Services</t>
  </si>
  <si>
    <t>Interest &amp; Finance Income</t>
  </si>
  <si>
    <t>DEBT BALANCES</t>
  </si>
  <si>
    <t xml:space="preserve">  0.50% Convertible Notes Due 2026</t>
  </si>
  <si>
    <t xml:space="preserve">  3.375% Senior Notes Due 2028</t>
  </si>
  <si>
    <t xml:space="preserve">  0.25% Convertible Notes Due 2030</t>
  </si>
  <si>
    <t xml:space="preserve">  0.50% Convertible Notes Due 2032</t>
  </si>
  <si>
    <t xml:space="preserve">  3.625% Senior Notes Due 2031</t>
  </si>
  <si>
    <t xml:space="preserve">  Other Debt / Senior Notes</t>
  </si>
  <si>
    <t xml:space="preserve">  Total Gross Debt</t>
  </si>
  <si>
    <t xml:space="preserve">  Less: Current Portion (ST Debt)</t>
  </si>
  <si>
    <t xml:space="preserve">  Long-Term Debt</t>
  </si>
  <si>
    <t>INTEREST EXPENSE CALCULATION</t>
  </si>
  <si>
    <t xml:space="preserve">  Beginning Debt Balance</t>
  </si>
  <si>
    <t xml:space="preserve">  Interest Expense (P&amp;L)</t>
  </si>
  <si>
    <t xml:space="preserve">  Note: Bloomberg FY2024–FY2025 shows $0 capex (reclassified to operating leases)</t>
  </si>
  <si>
    <t xml:space="preserve">  Beginning Net PP&amp;E</t>
  </si>
  <si>
    <t xml:space="preserve">  Depreciation</t>
  </si>
  <si>
    <t xml:space="preserve">  Ending Net PP&amp;E</t>
  </si>
  <si>
    <t>Coinbase Global Inc (COIN US) — Deribit Acquisition: Purchase Price Allocation &amp; Amortization Schedule</t>
  </si>
  <si>
    <t>ACQUISITION SUMMARY</t>
  </si>
  <si>
    <t>Closing Date</t>
  </si>
  <si>
    <t>August 14, 2025</t>
  </si>
  <si>
    <t>Total Consideration</t>
  </si>
  <si>
    <t xml:space="preserve">  Cash Component</t>
  </si>
  <si>
    <t xml:space="preserve">  Stock Component (~11M Class A shares)</t>
  </si>
  <si>
    <t>Implied Revenue Multiple</t>
  </si>
  <si>
    <t>Implied EBITDA Margin (pre-acq)</t>
  </si>
  <si>
    <t>60–70% gross margin (industry estimate; not disclosed)</t>
  </si>
  <si>
    <t>Expected EBITDA Accretion FY2026</t>
  </si>
  <si>
    <t>Mid-single-digit % (per Coinbase management guidance)</t>
  </si>
  <si>
    <t>BALANCE SHEET</t>
  </si>
  <si>
    <t>Goodwill</t>
  </si>
  <si>
    <t>Other Intangible Assets</t>
  </si>
  <si>
    <t xml:space="preserve">  Total Deribit-attributable increase (GW + Intangibles)</t>
  </si>
  <si>
    <t>% of Total</t>
  </si>
  <si>
    <t>Useful Life (yrs)</t>
  </si>
  <si>
    <t>Amortizable?</t>
  </si>
  <si>
    <t>Goodwill (not amortized, impairment tested annually)</t>
  </si>
  <si>
    <t>No — impairment test only</t>
  </si>
  <si>
    <t>Identified Intangibles — Customer Relationships</t>
  </si>
  <si>
    <t>Yes</t>
  </si>
  <si>
    <t>Identified Intangibles — Technology Platform</t>
  </si>
  <si>
    <t>Identified Intangibles — Trade Name / Brand</t>
  </si>
  <si>
    <t>Identified Intangibles — Non-Compete Agreements</t>
  </si>
  <si>
    <t>Net Working Capital / Other</t>
  </si>
  <si>
    <t>Deferred Tax Liability</t>
  </si>
  <si>
    <t>TOTAL</t>
  </si>
  <si>
    <t>N/A</t>
  </si>
  <si>
    <t>ANNUAL AMORTIZATION SCHEDULE — Acquisition-Related Intangibles (ARI)</t>
  </si>
  <si>
    <t>Intangible Category</t>
  </si>
  <si>
    <t>2025A (Partial)</t>
  </si>
  <si>
    <t>2028E</t>
  </si>
  <si>
    <t>2029E</t>
  </si>
  <si>
    <t>2030E</t>
  </si>
  <si>
    <t>2031E</t>
  </si>
  <si>
    <t>2032E</t>
  </si>
  <si>
    <t>SHARE COUNT</t>
  </si>
  <si>
    <t>SBC &amp; BUYBACKS</t>
  </si>
  <si>
    <t>OPERATING NET WORKING CAPITAL (ex. Customer Crypto Deposits)</t>
  </si>
  <si>
    <t xml:space="preserve">  Accounts Receivable</t>
  </si>
  <si>
    <t xml:space="preserve">  Other Current Assets (Operating)</t>
  </si>
  <si>
    <t xml:space="preserve">  Accounts Payable</t>
  </si>
  <si>
    <t xml:space="preserve">  Accrued Liabilities</t>
  </si>
  <si>
    <t xml:space="preserve">  Operating NWC (AR + OCA - AP - Accruals)</t>
  </si>
  <si>
    <t xml:space="preserve">  Days Sales Outstanding (DSO)</t>
  </si>
  <si>
    <t xml:space="preserve">  Days Payable Outstanding (DPO)</t>
  </si>
  <si>
    <t>Note: ETR inflected due to R&amp;D credits, SBC deductions, DTA utilization | FY2027E normalizes toward ~21% statutory</t>
  </si>
  <si>
    <t>Tax Schedule ($M)</t>
  </si>
  <si>
    <t>TAX PROVISION</t>
  </si>
  <si>
    <t xml:space="preserve">  Tax Provision (P&amp;L)</t>
  </si>
  <si>
    <t xml:space="preserve">  Effective Tax Rate (GAAP)</t>
  </si>
  <si>
    <t xml:space="preserve">  Deferred Tax Asset (Balance Sheet)</t>
  </si>
  <si>
    <t xml:space="preserve">  Change in DTA (Utilization / Accrual)</t>
  </si>
  <si>
    <t>Coinbase Global Inc. (COIN US) — Key Assumptions</t>
  </si>
  <si>
    <t>Units</t>
  </si>
  <si>
    <t>Source / Notes</t>
  </si>
  <si>
    <t>%</t>
  </si>
  <si>
    <t>Key yield compression driver. Higher participation → lower yields (per Ethereum economics)</t>
  </si>
  <si>
    <t>Used for digital asset holdings mark-to-market (ASC 350-60, adopted Jan 1, 2025)</t>
  </si>
  <si>
    <t>bps</t>
  </si>
  <si>
    <t>$M</t>
  </si>
  <si>
    <t>M ETH</t>
  </si>
  <si>
    <t>days</t>
  </si>
  <si>
    <t>x</t>
  </si>
  <si>
    <t>Coinbase Global Inc (COIN US) — USDC Revenue Scenario Analysis</t>
  </si>
  <si>
    <t>On-platform USDC (held in Coinbase products)</t>
  </si>
  <si>
    <t>100% of reserve interest income to Coinbase</t>
  </si>
  <si>
    <t>Off-platform USDC (DeFi, other exchanges, wallets)</t>
  </si>
  <si>
    <t>50/50 split between Circle and Coinbase</t>
  </si>
  <si>
    <t>Agreement renewal cycle</t>
  </si>
  <si>
    <t>Every 3 years — NEXT RENEWAL DUE IN 2026</t>
  </si>
  <si>
    <t>Binance comparison</t>
  </si>
  <si>
    <t>FY2025 on-platform avg balance</t>
  </si>
  <si>
    <t>FY2025 off-platform avg balance (est.)</t>
  </si>
  <si>
    <t>FY2025 confirmed stablecoin revenue</t>
  </si>
  <si>
    <t>Key Assumptions</t>
  </si>
  <si>
    <t>Base Case (Current Terms)</t>
  </si>
  <si>
    <t>Bear Case (Renegotiated)</t>
  </si>
  <si>
    <t>Stress Case (No Renewal)</t>
  </si>
  <si>
    <t>100% on-platform / 50% off-platform</t>
  </si>
  <si>
    <t>80% on-platform / 40% off-platform</t>
  </si>
  <si>
    <t>100% on-platform / 0% off-platform</t>
  </si>
  <si>
    <t>FY2025 SANITY CHECK — Reverse-Engineering Implied Reserve Rate</t>
  </si>
  <si>
    <t>FY2025 avg on-platform balance</t>
  </si>
  <si>
    <t>FY2025 avg off-platform balance (est.)</t>
  </si>
  <si>
    <t>Implied blended revenue yield (rev / weighted_balance)</t>
  </si>
  <si>
    <t>Fed Funds avg FY2025</t>
  </si>
  <si>
    <t>Implied reserve discount to Fed Funds</t>
  </si>
  <si>
    <t>Metric</t>
  </si>
  <si>
    <t>Share Price</t>
  </si>
  <si>
    <t>TRADING MULTIPLES</t>
  </si>
  <si>
    <t>EV / Revenue</t>
  </si>
  <si>
    <t>EV / Adj. EBITDA</t>
  </si>
  <si>
    <t>P/E (GAAP, Diluted)</t>
  </si>
  <si>
    <t>FCF Yield</t>
  </si>
  <si>
    <t>Coinbase Global Inc. (COIN US) — Discounted Cash Flow (DCF) Valuation</t>
  </si>
  <si>
    <t>Input</t>
  </si>
  <si>
    <t>Value</t>
  </si>
  <si>
    <t>Risk-Free Rate (Rf)</t>
  </si>
  <si>
    <t>10Y UST Constant Maturity, Feb 26 2026 — FRED DGS10 daily spot rate</t>
  </si>
  <si>
    <t>Equity Risk Premium (ERP)</t>
  </si>
  <si>
    <t>Beta — 5Y Monthly Levered (Raw)</t>
  </si>
  <si>
    <t>Yahoo Finance / Bloomberg convention — 5-year monthly OLS regression vs. S&amp;P 500</t>
  </si>
  <si>
    <t>Pre-Tax Cost of Debt (Kd)</t>
  </si>
  <si>
    <t>Blended coupon: 0.25% Conv + 0.5% Conv + 3.375% Sr + 3.625% Sr; ~3.5% avg weighted by balance</t>
  </si>
  <si>
    <t>Marginal Tax Rate</t>
  </si>
  <si>
    <t>US statutory corporate rate; normalized for 2028E+ (vs. effective ~8.7% in 2026E per Tax Schedule)</t>
  </si>
  <si>
    <t>Market Cap — Equity (E)</t>
  </si>
  <si>
    <t>Total Gross Debt (D)</t>
  </si>
  <si>
    <t>Total Capital (D + E)</t>
  </si>
  <si>
    <t>Weight of Equity (We)</t>
  </si>
  <si>
    <t>Weight of Debt (Wd)</t>
  </si>
  <si>
    <t>WACC CALCULATION</t>
  </si>
  <si>
    <t>GAAP EBIT (Operating Income)</t>
  </si>
  <si>
    <t>(×) (1 − Tax Rate)</t>
  </si>
  <si>
    <t>(+) Depreciation &amp; Amortization</t>
  </si>
  <si>
    <t>(−) Capital Expenditures</t>
  </si>
  <si>
    <t>(−) Change in Net Working Capital</t>
  </si>
  <si>
    <t>FREE CASH FLOW TO FIRM (FCFF)</t>
  </si>
  <si>
    <t>Sum of PV FCFFs ($M)</t>
  </si>
  <si>
    <t>METHOD A — Gordon Growth Model (Perpetuity)</t>
  </si>
  <si>
    <t>Terminal FCFF (Year 5 = 2030E)</t>
  </si>
  <si>
    <t>Terminal Value (TV)</t>
  </si>
  <si>
    <t>PV of Terminal Value</t>
  </si>
  <si>
    <t>METHOD B — Exit EV / Adj. EBITDA Multiple</t>
  </si>
  <si>
    <t>Terminal Adj. EBITDA (FY2030E)</t>
  </si>
  <si>
    <t>Sum of PV FCFFs</t>
  </si>
  <si>
    <t>(+) PV of Terminal Value</t>
  </si>
  <si>
    <t>Enterprise Value (EV)</t>
  </si>
  <si>
    <t>(+) Net Cash (FY2025A)</t>
  </si>
  <si>
    <t>Equity Value</t>
  </si>
  <si>
    <t>IMPLIED SHARE PRICE ($/share)</t>
  </si>
  <si>
    <t>Implied Upside / (Downside) vs. Current</t>
  </si>
  <si>
    <t>WACC \ g</t>
  </si>
  <si>
    <t>Company</t>
  </si>
  <si>
    <t>LTM EV/EBITDA</t>
  </si>
  <si>
    <t>Characterization</t>
  </si>
  <si>
    <t>CME</t>
  </si>
  <si>
    <t>CME Group</t>
  </si>
  <si>
    <t>Mature exchange; high margins; low beta; derivatives-heavy</t>
  </si>
  <si>
    <t>ICE</t>
  </si>
  <si>
    <t>Intercontinental Exchange</t>
  </si>
  <si>
    <t>Diversified exchange + fintech infra; mortgage data drag on multiple</t>
  </si>
  <si>
    <t>NDAQ</t>
  </si>
  <si>
    <t>Nasdaq Inc.</t>
  </si>
  <si>
    <t>Tech/exchange hybrid; index licensing adds quality premium</t>
  </si>
  <si>
    <t>HOOD</t>
  </si>
  <si>
    <t>Robinhood Markets</t>
  </si>
  <si>
    <t>High-growth fintech; crypto-leveraged; premium for growth optionality</t>
  </si>
  <si>
    <t>COIN</t>
  </si>
  <si>
    <t>Coinbase Global</t>
  </si>
  <si>
    <t>Peer Range (ex-COIN)</t>
  </si>
  <si>
    <t>VALUATION SUMMARY SNAPSHOT</t>
  </si>
  <si>
    <t>GG Model</t>
  </si>
  <si>
    <t>Implied Share Price</t>
  </si>
  <si>
    <t>TV / Total EV</t>
  </si>
  <si>
    <t>Beta (Blume)</t>
  </si>
  <si>
    <t>Risk-Free Rate</t>
  </si>
  <si>
    <t>ERP (Damodaran)</t>
  </si>
  <si>
    <t>Shares (M diluted)</t>
  </si>
  <si>
    <t>WACC \ Multiple</t>
  </si>
  <si>
    <t>yrs</t>
  </si>
  <si>
    <t>$/sh</t>
  </si>
  <si>
    <t>M sh</t>
  </si>
  <si>
    <t>COINBASE GLOBAL INC. (COIN US)</t>
  </si>
  <si>
    <t>stablecoins, and a fast-growing subscription layer (Coinbase One, Base chain, staking).</t>
  </si>
  <si>
    <t>Key upside drivers:  Deribit acquisition (full-year 2026E contribution), Base L2 chain independence,</t>
  </si>
  <si>
    <t>Key risks:  Circle–Coinbase USDC renewal (2026), CME 24/7 crypto futures competition,</t>
  </si>
  <si>
    <t>EBIT + SBC + D&amp;A</t>
  </si>
  <si>
    <t>Adj. EBITDA Margin</t>
  </si>
  <si>
    <t>MARKET DATA</t>
  </si>
  <si>
    <t>Consensus</t>
  </si>
  <si>
    <t>NI / dil. shares</t>
  </si>
  <si>
    <t>Lev. FCF / Mkt Cap</t>
  </si>
  <si>
    <t>DCF VALUATION RANGE</t>
  </si>
  <si>
    <t>Implied Price — Gordon Growth</t>
  </si>
  <si>
    <t>Valuation Range</t>
  </si>
  <si>
    <t>GG: discount | EM: premium</t>
  </si>
  <si>
    <t>Tab</t>
  </si>
  <si>
    <t>Description</t>
  </si>
  <si>
    <t>MODEL INPUTS &amp; ASSUMPTIONS</t>
  </si>
  <si>
    <t>FINANCIAL STATEMENTS</t>
  </si>
  <si>
    <t>FY2019A–FY2030E  |  Revenue, EBIT, net income, SBC, D&amp;A memo  |  Bloomberg-confirmed historicals</t>
  </si>
  <si>
    <t>FY2019A–FY2030E  |  Assets, liabilities, equity  |  Cash plug balances model</t>
  </si>
  <si>
    <t>FY2019A–FY2030E  |  OCF, ICF, FCF  |  Levered FCF + conversion metrics</t>
  </si>
  <si>
    <t>VALUATION</t>
  </si>
  <si>
    <t>SCENARIO ANALYSIS</t>
  </si>
  <si>
    <t>Purchase price allocation, intangible amortisation schedule, and accretion framework</t>
  </si>
  <si>
    <t>SUPPORTING DETAIL</t>
  </si>
  <si>
    <t>Revenue Bridge → Debt → PP&amp;E → Share Count → Working Capital → Tax  |  All cross-referenced to IS/BS/CFS</t>
  </si>
  <si>
    <t>Analyst estimates are not investment advice. Model for illustrative and educational purposes only.</t>
  </si>
  <si>
    <t>INVESTMENT THESIS</t>
  </si>
  <si>
    <t>VALUATION SNAPSHOT</t>
  </si>
  <si>
    <t>MODEL NAVIGATION</t>
  </si>
  <si>
    <t>Assumptions</t>
  </si>
  <si>
    <t>Income Statement</t>
  </si>
  <si>
    <t>Balance Sheet</t>
  </si>
  <si>
    <t>Cash Flow Statement</t>
  </si>
  <si>
    <t>DCF Model</t>
  </si>
  <si>
    <t>USDC Scenarios</t>
  </si>
  <si>
    <t>Deribit Acquisition</t>
  </si>
  <si>
    <t>Supporting Schedules</t>
  </si>
  <si>
    <t>PP&amp;E SCHEDULE</t>
  </si>
  <si>
    <t>WORKING CAPITAL</t>
  </si>
  <si>
    <t>TAX SCHEDULE</t>
  </si>
  <si>
    <t>% of revenue (Adj. EBITDA / Revenue)</t>
  </si>
  <si>
    <t>WACC BUILD</t>
  </si>
  <si>
    <t>TERMINAL VALUE</t>
  </si>
  <si>
    <t>EQUITY VALUE BRIDGE</t>
  </si>
  <si>
    <t>PEER MULTIPLE CALIBRATION — Exit EV / Adj. EBITDA Reference</t>
  </si>
  <si>
    <t>Damodaran Implied ERP, Jan 2026 — S&amp;P 500 FCFE basis</t>
  </si>
  <si>
    <t>Exit 20x EM</t>
  </si>
  <si>
    <t>CAPM: Rf + Blume β x ERP</t>
  </si>
  <si>
    <t>20x</t>
  </si>
  <si>
    <t>25.2x</t>
  </si>
  <si>
    <t>22–24x</t>
  </si>
  <si>
    <t>17.0x</t>
  </si>
  <si>
    <t>16–17x</t>
  </si>
  <si>
    <t>22.0x</t>
  </si>
  <si>
    <t>20–22x</t>
  </si>
  <si>
    <t>45.8x</t>
  </si>
  <si>
    <t>25–33x</t>
  </si>
  <si>
    <t>27.0x</t>
  </si>
  <si>
    <t>20–25x</t>
  </si>
  <si>
    <t>17–45x</t>
  </si>
  <si>
    <t>16–33x</t>
  </si>
  <si>
    <t>WACC build (CAPM, Blume β), FCFF bridge, terminal value (GG + Exit Multiple), 5x5 sensitivity tables</t>
  </si>
  <si>
    <t>Circle–Coinbase revenue-sharing renewal scenarios  |  3 rate environments x 3 sharing-term cases</t>
  </si>
  <si>
    <t>NTM EV/EBITDA</t>
  </si>
  <si>
    <t>USDC stablecoin revenue resilience, and Coinbase One ARR scaling toward 400M+ by 2028E.</t>
  </si>
  <si>
    <t>Total Revenue (M)</t>
  </si>
  <si>
    <t>Net Income (M)</t>
  </si>
  <si>
    <t>Adj. EBITDA (M)</t>
  </si>
  <si>
    <t>Market Cap (M)</t>
  </si>
  <si>
    <t>Enterprise Value (M)</t>
  </si>
  <si>
    <t>M</t>
  </si>
  <si>
    <t>Implied EV (M)</t>
  </si>
  <si>
    <t>Implied Equity (M)</t>
  </si>
  <si>
    <t>PV FCFFs (M)</t>
  </si>
  <si>
    <t>Net Cash (M)</t>
  </si>
  <si>
    <t>115.6B</t>
  </si>
  <si>
    <t>112.2B</t>
  </si>
  <si>
    <t>64.9B</t>
  </si>
  <si>
    <t>97.0B</t>
  </si>
  <si>
    <t>42–54B</t>
  </si>
  <si>
    <t>B</t>
  </si>
  <si>
    <t>Circle paid Binance 60.25M one-time + monthly fee (Binance receives, not earns)</t>
  </si>
  <si>
    <t>SCENARIO MATRIX -  FY2026E Stablecoin Revenue (M) by USDC Balance and Sharing Terms</t>
  </si>
  <si>
    <t>2,900.0M</t>
  </si>
  <si>
    <t>700.0M</t>
  </si>
  <si>
    <t>2,200.0M</t>
  </si>
  <si>
    <t>~9.7x (Architect Partners est.; ~300M FY2024 rev)</t>
  </si>
  <si>
    <t>FY2024A (M)</t>
  </si>
  <si>
    <t>FY2025A (M)</t>
  </si>
  <si>
    <t>Change (M)</t>
  </si>
  <si>
    <t>Amount (M)</t>
  </si>
  <si>
    <t>Ann. Amort (M)</t>
  </si>
  <si>
    <t>Customer Relationships (710M / 8yr = 88.75M/yr)</t>
  </si>
  <si>
    <t>Technology Platform (480M / 6yr = 80.0M/yr)</t>
  </si>
  <si>
    <t>Trade Name (120M / 10yr = 12.0M/yr)</t>
  </si>
  <si>
    <t>Non-Compete (40M / 3yr = 13.3M/yr)</t>
  </si>
  <si>
    <t>TOTAL Annual ARI Amortization (M)</t>
  </si>
  <si>
    <t>Gordon Growth</t>
  </si>
  <si>
    <t>Exit Multiple 20x</t>
  </si>
  <si>
    <t xml:space="preserve">Crypto-native; cyclical; subscription revenue transition ongoing. </t>
  </si>
  <si>
    <t>SENSITIVITY ANALYSIS</t>
  </si>
  <si>
    <t>Exit Multiple</t>
  </si>
  <si>
    <t>DISCOUNT FACTORS &amp; PRESENT VALUES</t>
  </si>
  <si>
    <t>Time period (t)</t>
  </si>
  <si>
    <t>Exit EV / Adj. EBITDA Multiple</t>
  </si>
  <si>
    <t>FCFF Build</t>
  </si>
  <si>
    <t>= NOPAT (EBIT after tax)</t>
  </si>
  <si>
    <t>Pre-IPO artefact</t>
  </si>
  <si>
    <t>Year</t>
  </si>
  <si>
    <t>Explanation</t>
  </si>
  <si>
    <t>Bloomberg Standardized PP&amp;E includes operating lease ROU assets ($34M) excluded from Bloomberg’s own L+E-derived Total Assets. No model error.</t>
  </si>
  <si>
    <t>Preferred Stock ($579M) classified differently between Bloomberg Standardized asset-side and equity-side in pre-IPO years. No model error.</t>
  </si>
  <si>
    <t>$B</t>
  </si>
  <si>
    <t>MACRO &amp; MARKET</t>
  </si>
  <si>
    <t xml:space="preserve">  Federal Funds Rate (Year-End)</t>
  </si>
  <si>
    <t xml:space="preserve">  ETH Staking Yield (Protocol APY)</t>
  </si>
  <si>
    <t xml:space="preserve">  ETH Staking Participation Rate</t>
  </si>
  <si>
    <t>$</t>
  </si>
  <si>
    <t>INCOME STATEMENT</t>
  </si>
  <si>
    <t>CASH FLOW STATEMENT</t>
  </si>
  <si>
    <t>$T</t>
  </si>
  <si>
    <t xml:space="preserve">  Crypto Market Cap</t>
  </si>
  <si>
    <t xml:space="preserve">  Consumer Volume</t>
  </si>
  <si>
    <t xml:space="preserve">  Consumer Take Rate</t>
  </si>
  <si>
    <t xml:space="preserve">  Institutional Volume</t>
  </si>
  <si>
    <t xml:space="preserve">  Institutional Take Rate</t>
  </si>
  <si>
    <t>Consumer Transaction Revenue</t>
  </si>
  <si>
    <t>Institutional Transaction Revenue</t>
  </si>
  <si>
    <t>Deribit Contribution</t>
  </si>
  <si>
    <t>Other Transaction Revenue</t>
  </si>
  <si>
    <t>USDC Revenue</t>
  </si>
  <si>
    <t>Blockchain Rewards / Staking</t>
  </si>
  <si>
    <t xml:space="preserve">  On-Platform Avg USDC Balance</t>
  </si>
  <si>
    <t xml:space="preserve">  Off-Platform USDC Total Market Cap</t>
  </si>
  <si>
    <t xml:space="preserve">  On-Platform Sharing Rate</t>
  </si>
  <si>
    <t xml:space="preserve">  Off-Platform Sharing Rate</t>
  </si>
  <si>
    <t xml:space="preserve">  ETH in Custody (Approx.)</t>
  </si>
  <si>
    <t xml:space="preserve">  Coinbase Net User Yield Paid Out</t>
  </si>
  <si>
    <t xml:space="preserve">  Gross Sequencer Revenue</t>
  </si>
  <si>
    <t>OpEx &amp; Margins</t>
  </si>
  <si>
    <t>Gross Margin</t>
  </si>
  <si>
    <t>Sales &amp; Marketing</t>
  </si>
  <si>
    <t>R&amp;D</t>
  </si>
  <si>
    <t>G&amp;A</t>
  </si>
  <si>
    <t>SBC</t>
  </si>
  <si>
    <t>Depreciation &amp; Amortization</t>
  </si>
  <si>
    <t xml:space="preserve">  PP&amp;E Depreciation</t>
  </si>
  <si>
    <t xml:space="preserve">  Deribit ARI — Full Year</t>
  </si>
  <si>
    <t xml:space="preserve">  Other Intangibles Amortization</t>
  </si>
  <si>
    <t>Total D&amp;A</t>
  </si>
  <si>
    <t>Below the Line</t>
  </si>
  <si>
    <t>Effective Tax Rate (GAAP)</t>
  </si>
  <si>
    <t>Working Capital</t>
  </si>
  <si>
    <t>Accounts Payable</t>
  </si>
  <si>
    <t>Accrued Liabilities</t>
  </si>
  <si>
    <t>Non-Current Assets</t>
  </si>
  <si>
    <t>Debt &amp; Equity</t>
  </si>
  <si>
    <t xml:space="preserve">  Capex</t>
  </si>
  <si>
    <t>Total Gross Debt</t>
  </si>
  <si>
    <t>Current Portion of LT Debt</t>
  </si>
  <si>
    <t xml:space="preserve">  Share Buybacks</t>
  </si>
  <si>
    <t>Operating Activities</t>
  </si>
  <si>
    <t xml:space="preserve">  Deferred Income Taxes</t>
  </si>
  <si>
    <t xml:space="preserve">  Other Operating Activities</t>
  </si>
  <si>
    <t>Investing Activities</t>
  </si>
  <si>
    <t xml:space="preserve">  Acquisitions &amp; Investments</t>
  </si>
  <si>
    <t>Financing Activities</t>
  </si>
  <si>
    <t xml:space="preserve">  Share Repurchases</t>
  </si>
  <si>
    <t xml:space="preserve">  Stock Issuance / ESPP</t>
  </si>
  <si>
    <t xml:space="preserve">  BTC Price (Year-End)</t>
  </si>
  <si>
    <t>Structural compression: ~30 bps/yr expected as staking participation &gt;30%</t>
  </si>
  <si>
    <t xml:space="preserve">  Effective USDC Yield (Coinbase net)</t>
  </si>
  <si>
    <t xml:space="preserve">  Eff. Yield Spread over FFR</t>
  </si>
  <si>
    <t>Terminal g / Exit Multiple</t>
  </si>
  <si>
    <t>TV as % of Total EV</t>
  </si>
  <si>
    <t>(÷) Diluted Shares</t>
  </si>
  <si>
    <t>PV of FCFF</t>
  </si>
  <si>
    <t>FCFF</t>
  </si>
  <si>
    <t>Discount Factor</t>
  </si>
  <si>
    <t>EV</t>
  </si>
  <si>
    <t xml:space="preserve">  Deribit Volume ($B)</t>
  </si>
  <si>
    <t xml:space="preserve">  Deribit Take Rate (bps)</t>
  </si>
  <si>
    <t xml:space="preserve">  L1 Settlement Cost %</t>
  </si>
  <si>
    <t xml:space="preserve">  OP Stack Revenue Share %</t>
  </si>
  <si>
    <t xml:space="preserve">  Other Transaction (excl. Sequencer)</t>
  </si>
  <si>
    <t xml:space="preserve">  Avg Interest-Bearing Balance</t>
  </si>
  <si>
    <t xml:space="preserve">  Effective Yield on Interest-Bearing Assets</t>
  </si>
  <si>
    <t>References FFR (row 5); customer &amp; corporate treasury assets earn at or near the Fed Funds rate</t>
  </si>
  <si>
    <t>$/sub/yr</t>
  </si>
  <si>
    <t xml:space="preserve">  Coinbase One ARR</t>
  </si>
  <si>
    <t xml:space="preserve">  Other Sub excl. Coinbase One</t>
  </si>
  <si>
    <t>Custody fees, APIs, developer tools. Back-solved residual for historicals</t>
  </si>
  <si>
    <t xml:space="preserve">    Coinbase One Subscribers</t>
  </si>
  <si>
    <t xml:space="preserve">    Coinbase One ARPU</t>
  </si>
  <si>
    <t xml:space="preserve">    PP&amp;E Depreciation Rate (% of prior-yr net PP&amp;E)</t>
  </si>
  <si>
    <t xml:space="preserve">  Other Debt / Bridge Loan</t>
  </si>
  <si>
    <t xml:space="preserve">  Accrued Liabilities as % of Total OpEx</t>
  </si>
  <si>
    <t>Current Assets</t>
  </si>
  <si>
    <t xml:space="preserve">  Restricted Cash</t>
  </si>
  <si>
    <t xml:space="preserve">    Crypto Rcv Growth Rate</t>
  </si>
  <si>
    <t xml:space="preserve">  Other Current Assets</t>
  </si>
  <si>
    <t xml:space="preserve">  Goodwill</t>
  </si>
  <si>
    <t xml:space="preserve">  Digital Asset Investments</t>
  </si>
  <si>
    <t xml:space="preserve">  Other Non-Current Assets</t>
  </si>
  <si>
    <t xml:space="preserve">    DTA Annual Change</t>
  </si>
  <si>
    <t xml:space="preserve">    Capex as % of Revenue</t>
  </si>
  <si>
    <t>PP&amp;E Depr + Deribit ARI + Other Intangibles.</t>
  </si>
  <si>
    <t>Back-solved from actuals. Approx. 1% of COGS — Coinbase runs largely asset-light.</t>
  </si>
  <si>
    <t>Forecast formula: COGS × DPO / 365. Historicals: cross-referenced from Balance Sheet.</t>
  </si>
  <si>
    <t>Forecast formula: Total OpEx × Accruals % of OpEx (row 73). Historicals: cross-referenced from Balance Sheet.</t>
  </si>
  <si>
    <t>Held flat at FY2025A level.</t>
  </si>
  <si>
    <t>No acquisitions modeled; flat from Deribit close.</t>
  </si>
  <si>
    <t>Flat; ASC 350-60 fair value.</t>
  </si>
  <si>
    <t>Held flat.</t>
  </si>
  <si>
    <t>$50M/yr DTA drawdown.</t>
  </si>
  <si>
    <t>~1% of revenue; asset-light model.</t>
  </si>
  <si>
    <t>Non-cash DTA utilization.</t>
  </si>
  <si>
    <t>AR change; negative = cash use.</t>
  </si>
  <si>
    <t>Nets to zero; deposit changes.</t>
  </si>
  <si>
    <t>Change in AP + accrued liabilities.</t>
  </si>
  <si>
    <t>Other WC and timing items.</t>
  </si>
  <si>
    <t>Small bolt-on only; no large deals.</t>
  </si>
  <si>
    <t>Digital asset / portfolio monetization.</t>
  </si>
  <si>
    <t>No new issuance modeled.</t>
  </si>
  <si>
    <t>Per Debt Schedule maturity profile.</t>
  </si>
  <si>
    <t>$2B authorization; ~$1.5B/yr executed.</t>
  </si>
  <si>
    <t>Repayment schedule per debt maturity profile.</t>
  </si>
  <si>
    <t>ESPP and employee option exercises.</t>
  </si>
  <si>
    <t>Other financing activities.</t>
  </si>
  <si>
    <t>Coinbase Global Inc. (COIN US) — Supporting Schedules</t>
  </si>
  <si>
    <t>Share Count &amp; SBC ($M)</t>
  </si>
  <si>
    <t>DEBT SCHEDULE</t>
  </si>
  <si>
    <t xml:space="preserve">  Change in Accounts Receivable</t>
  </si>
  <si>
    <t xml:space="preserve">  Change in Customer Crypto Deposits</t>
  </si>
  <si>
    <t xml:space="preserve">  Change in AP &amp; Accruals</t>
  </si>
  <si>
    <t xml:space="preserve">  Other Non-Current Liabilities</t>
  </si>
  <si>
    <t>Held flat at FY2025A level ($67M). Primarily lease liabilities.</t>
  </si>
  <si>
    <t xml:space="preserve">  Accumulated OCI &amp; Other</t>
  </si>
  <si>
    <t>Held at $0 for forecasts. Small unrealized gains/losses on AFS securities.</t>
  </si>
  <si>
    <t xml:space="preserve">  Change in Other Current Assets</t>
  </si>
  <si>
    <t xml:space="preserve">  Change in Other Non-Current Liabilities</t>
  </si>
  <si>
    <t xml:space="preserve">  Change in Digital Asset Investments</t>
  </si>
  <si>
    <t xml:space="preserve">  Change in Other Non-Current Assets</t>
  </si>
  <si>
    <t xml:space="preserve">    (Increase)/Decrease in Other Current Assets</t>
  </si>
  <si>
    <t xml:space="preserve">    Change in Other Non-Current Liabilities</t>
  </si>
  <si>
    <t xml:space="preserve">  (Increase)/Decrease in Digital Asset Inv.</t>
  </si>
  <si>
    <t xml:space="preserve">  (Increase)/Decrease in Other Non-Current Assets</t>
  </si>
  <si>
    <t>Balance Check (Assets - Liab - Equity, tolerance &lt;$11M)</t>
  </si>
  <si>
    <t>All editable inputs: macro, revenue, cost, D&amp;A, balance sheet</t>
  </si>
  <si>
    <t>Blume: (2/3 × Raw β) + (1/3 × 1.0)  →  (2/3 × 3.70) + (1/3 × 1.0) = 2.80x</t>
  </si>
  <si>
    <t>WACC</t>
  </si>
  <si>
    <t xml:space="preserve">  Stock-Based Compensation</t>
  </si>
  <si>
    <t>Deribit acq. closed Aug 2025; first full year 2026E</t>
  </si>
  <si>
    <t>Includes Base sequencer + other undisclosed items</t>
  </si>
  <si>
    <t>Includes Coinbase One, custody, APIs</t>
  </si>
  <si>
    <t>FY2026E implied ~15 days; back-solved from historicals</t>
  </si>
  <si>
    <t>Named tranche balances + Other Debt assumption drive this total; per Debt Schedule</t>
  </si>
  <si>
    <t>Maturity-based schedule; drives Debt Schedule current/LT split</t>
  </si>
  <si>
    <t>0.50% Conv 2027 = 670M current; 0.25% Conv 2030 = 1,150M current</t>
  </si>
  <si>
    <t>Key driver of USDC stablecoin revenue; FOMC path as of Feb 2026</t>
  </si>
  <si>
    <t>Formula-driven: Volume × Take Rate</t>
  </si>
  <si>
    <t>Formula-driven: Inst. Volume × Take Rate</t>
  </si>
  <si>
    <t>Notes</t>
  </si>
  <si>
    <t>Proxy for total addressable volume</t>
  </si>
  <si>
    <t>Circle–Coinbase agreement expires 2026; renewal terms uncertain</t>
  </si>
  <si>
    <t>Off-platform sharing rate per Circle agreement</t>
  </si>
  <si>
    <t>After Coinbase commission (~29–35% of protocol yield)</t>
  </si>
  <si>
    <t>Customer-facing + corporate treasury interest</t>
  </si>
  <si>
    <t>Back-solved from actuals (Income / FFR); Deribit-driven step-up in 2026E</t>
  </si>
  <si>
    <t>Coinbase AI/infrastructure investment</t>
  </si>
  <si>
    <t>Per Deribit Acquisition tab (row 35 — TOTAL Annual ARI). Non-Compete (13.3M/yr) expires end-2028E.</t>
  </si>
  <si>
    <t>Residual pre-Deribit intangibles; amortize over existing schedule</t>
  </si>
  <si>
    <t>Back-solved from actuals (2024A: 627/3,422=18.3%; 2025A: 687/4,350=15.8%)</t>
  </si>
  <si>
    <t>5% annual growth rate applied to custody balances</t>
  </si>
  <si>
    <t>Held near FY2025A level</t>
  </si>
  <si>
    <t>Coinbase One waiver effect on blended rate</t>
  </si>
  <si>
    <t>Deribit derivatives mix affects blended rate</t>
  </si>
  <si>
    <t xml:space="preserve">  ETH Price (Average)</t>
  </si>
  <si>
    <t>Used for Blockchain Staking Rewards</t>
  </si>
  <si>
    <t>Applied to prior year-end gross debt in Supporting Schedules (Interest Schedule row 17)</t>
  </si>
  <si>
    <t>2026E elevated for Deribit integration + regulatory costs</t>
  </si>
  <si>
    <t>CURRENT ECONOMICS</t>
  </si>
  <si>
    <t>Fed Funds Rate</t>
  </si>
  <si>
    <t xml:space="preserve">  Other Revenue</t>
  </si>
  <si>
    <t xml:space="preserve">  Other Non-Operating (Income)/Expense</t>
  </si>
  <si>
    <t>DEPRECIATION &amp; AMORTIZATION</t>
  </si>
  <si>
    <t>Equity Research Model  |  FY2019A–FY2030E  |  As of March 9, 2026</t>
  </si>
  <si>
    <t>As of March 9, 2026</t>
  </si>
  <si>
    <t>CAPITAL STRUCTURE (Current Market Values — March 9, 2026)</t>
  </si>
  <si>
    <t>Current Share Price (March 9, 2026)</t>
  </si>
  <si>
    <t>Other Revnue</t>
  </si>
  <si>
    <t>Siddhant Shah | sidshah2953@gmail.com</t>
  </si>
  <si>
    <t>Beta (Blume-Adjusted)</t>
  </si>
  <si>
    <t>Cost of Equity (Ke)</t>
  </si>
  <si>
    <t>DCF Exit</t>
  </si>
  <si>
    <t>vs. Current</t>
  </si>
  <si>
    <t>Terminal Growth Rate (g)</t>
  </si>
  <si>
    <t xml:space="preserve">  Shares Repurchased</t>
  </si>
  <si>
    <t xml:space="preserve">  Basic Shares Outstanding</t>
  </si>
  <si>
    <t xml:space="preserve">  Diluted Shares (incl. RSUs, options, converts)</t>
  </si>
  <si>
    <t>Transaction Revenue</t>
  </si>
  <si>
    <t>Subscription &amp; Service Revenue</t>
  </si>
  <si>
    <t>Includes CDP (Coinbase Developer Platform) revenue; not separately disclosed.</t>
  </si>
  <si>
    <t>Calculated: YE FFR + Spread (row above). Used directly in USDC Revenue formula.</t>
  </si>
  <si>
    <t>PURCHASE PRICE ALLOCATION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</si>
</sst>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3" formatCode="_(* #,##0.00_);_(* \(#,##0.00\);_(* &quot;-&quot;??_);_(@_)"/>
    <numFmt numFmtId="164" formatCode="#,##0.0"/>
    <numFmt numFmtId="165" formatCode="_(* #,##0.0_);_(* \(#,##0.0\);_(* \-?_);_(@_)"/>
    <numFmt numFmtId="166" formatCode="0.0%"/>
    <numFmt numFmtId="167" formatCode="0.0"/>
    <numFmt numFmtId="168" formatCode="0.0\x"/>
    <numFmt numFmtId="169" formatCode="&quot;$&quot;#,##0.00"/>
    <numFmt numFmtId="170" formatCode="&quot;$&quot;#,##0"/>
    <numFmt numFmtId="171" formatCode="&quot;$&quot;#,##0;\(&quot;$&quot;#,##0\);&quot;-&quot;"/>
    <numFmt numFmtId="172" formatCode="0.0&quot;x&quot;"/>
    <numFmt numFmtId="173" formatCode="0.0%;\(0.0%\);0.0%"/>
    <numFmt numFmtId="174" formatCode="#,##0_);\(#,##0\);&quot;-&quot;"/>
    <numFmt numFmtId="175" formatCode="0.0%_);\(0.0%\);&quot;-&quot;"/>
    <numFmt numFmtId="176" formatCode="#,##0_);\(#,##0\);\–"/>
    <numFmt numFmtId="177" formatCode="0&quot;x&quot;"/>
    <numFmt numFmtId="178" formatCode="#,##0.0_);\(#,##0.0\);&quot;-&quot;"/>
    <numFmt numFmtId="179" formatCode="0.0_);\(0.0\);&quot;-&quot;"/>
    <numFmt numFmtId="180" formatCode="&quot;$&quot;#,##0.0_);\(&quot;$&quot;#,##0.0\);&quot;-&quot;"/>
  </numFmts>
  <fonts count="104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Arial"/>
      <family val="2"/>
    </font>
    <font>
      <sz val="10"/>
      <color theme="1"/>
      <name val="Arial"/>
      <family val="2"/>
      <charset val="1"/>
    </font>
    <font>
      <i/>
      <sz val="9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Calibri"/>
      <family val="2"/>
      <charset val="1"/>
    </font>
    <font>
      <sz val="10"/>
      <color rgb="FF006600"/>
      <name val="Arial"/>
      <family val="2"/>
      <charset val="1"/>
    </font>
    <font>
      <sz val="10"/>
      <color rgb="FFC00000"/>
      <name val="Arial"/>
      <family val="2"/>
      <charset val="1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4"/>
      <color rgb="FFFFFFFF"/>
      <name val="Calibri"/>
      <family val="2"/>
    </font>
    <font>
      <i/>
      <sz val="9"/>
      <color rgb="FFA8C0D6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rgb="FF595959"/>
      <name val="Calibri"/>
      <family val="2"/>
    </font>
    <font>
      <b/>
      <sz val="10"/>
      <color rgb="FF375623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375623"/>
      <name val="Calibri"/>
      <family val="2"/>
    </font>
    <font>
      <b/>
      <sz val="13"/>
      <color rgb="FFFFFFFF"/>
      <name val="Calibri"/>
      <family val="2"/>
    </font>
    <font>
      <sz val="10"/>
      <color rgb="FFFFFFFF"/>
      <name val="Calibri"/>
      <family val="2"/>
    </font>
    <font>
      <b/>
      <i/>
      <sz val="10"/>
      <color rgb="FF1F497D"/>
      <name val="Calibri"/>
      <family val="2"/>
    </font>
    <font>
      <i/>
      <sz val="9"/>
      <color rgb="FF7A8FA6"/>
      <name val="Calibri"/>
      <family val="2"/>
    </font>
    <font>
      <b/>
      <sz val="26"/>
      <color rgb="FF1A2E42"/>
      <name val="Calibri"/>
      <family val="2"/>
    </font>
    <font>
      <i/>
      <sz val="11"/>
      <color rgb="FF4A7FA5"/>
      <name val="Calibri"/>
      <family val="2"/>
    </font>
    <font>
      <b/>
      <sz val="10"/>
      <color rgb="FF1A2E42"/>
      <name val="Calibri"/>
      <family val="2"/>
    </font>
    <font>
      <sz val="10"/>
      <color rgb="FF2C3E50"/>
      <name val="Calibri"/>
      <family val="2"/>
    </font>
    <font>
      <b/>
      <sz val="10"/>
      <color rgb="FF2C3E50"/>
      <name val="Calibri"/>
      <family val="2"/>
    </font>
    <font>
      <u/>
      <sz val="10"/>
      <color rgb="FF0563C1"/>
      <name val="Calibri"/>
      <family val="2"/>
    </font>
    <font>
      <sz val="10"/>
      <color rgb="FF1A2E42"/>
      <name val="Calibri"/>
      <family val="2"/>
    </font>
    <font>
      <i/>
      <sz val="9"/>
      <color rgb="FF6B8FA6"/>
      <name val="Calibri"/>
      <family val="2"/>
    </font>
    <font>
      <sz val="10"/>
      <color rgb="FF4A5568"/>
      <name val="Calibri"/>
      <family val="2"/>
    </font>
    <font>
      <b/>
      <sz val="10"/>
      <color rgb="FFC0392B"/>
      <name val="Calibri"/>
      <family val="2"/>
    </font>
    <font>
      <b/>
      <sz val="10"/>
      <color rgb="FF1A6B3C"/>
      <name val="Calibri"/>
      <family val="2"/>
    </font>
    <font>
      <sz val="9"/>
      <color rgb="FF6B8FA6"/>
      <name val="Calibri"/>
      <family val="2"/>
    </font>
    <font>
      <sz val="9"/>
      <color rgb="FFFFFFFF"/>
      <name val="Calibri"/>
      <family val="2"/>
    </font>
    <font>
      <b/>
      <sz val="9"/>
      <color rgb="FF6B8FA6"/>
      <name val="Calibri"/>
      <family val="2"/>
    </font>
    <font>
      <b/>
      <sz val="9"/>
      <color rgb="FFFFFFFF"/>
      <name val="Calibri"/>
      <family val="2"/>
    </font>
    <font>
      <b/>
      <sz val="9"/>
      <color rgb="FF7A8FA6"/>
      <name val="Calibri"/>
      <family val="2"/>
    </font>
    <font>
      <sz val="9"/>
      <color rgb="FF7A8FA6"/>
      <name val="Calibri"/>
      <family val="2"/>
    </font>
    <font>
      <sz val="10"/>
      <color rgb="FF2F5597"/>
      <name val="Calibri"/>
      <family val="2"/>
    </font>
    <font>
      <sz val="10"/>
      <color rgb="FF6B8FA6"/>
      <name val="Calibri"/>
      <family val="2"/>
    </font>
    <font>
      <sz val="11"/>
      <color rgb="FF000000"/>
      <name val="Calibri"/>
      <family val="2"/>
      <charset val="1"/>
    </font>
    <font>
      <sz val="10"/>
      <color rgb="FF375623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9"/>
      <color rgb="FF6B8FA6"/>
      <name val="Calibri"/>
      <family val="2"/>
      <charset val="1"/>
    </font>
    <font>
      <i/>
      <sz val="9"/>
      <color rgb="FF595959"/>
      <name val="Calibri"/>
      <family val="2"/>
    </font>
    <font>
      <b/>
      <i/>
      <sz val="10"/>
      <color rgb="FF595959"/>
      <name val="Calibri"/>
      <family val="2"/>
    </font>
    <font>
      <b/>
      <i/>
      <sz val="11"/>
      <color rgb="FFFFFFFF"/>
      <name val="Calibri"/>
      <family val="2"/>
    </font>
    <font>
      <sz val="11"/>
      <color rgb="FFFFFFFF"/>
      <name val="Calibri"/>
      <family val="2"/>
      <charset val="1"/>
    </font>
    <font>
      <sz val="11"/>
      <color rgb="FF2E4057"/>
      <name val="Calibri"/>
      <family val="2"/>
      <charset val="1"/>
    </font>
    <font>
      <sz val="9"/>
      <color rgb="FF6B8FA6"/>
      <name val="Calibri"/>
      <family val="2"/>
      <charset val="1"/>
    </font>
    <font>
      <i/>
      <sz val="10"/>
      <color rgb="FF595959"/>
      <name val="Calibri"/>
      <family val="2"/>
      <charset val="1"/>
    </font>
    <font>
      <sz val="10"/>
      <color rgb="FF2C3E50"/>
      <name val="Calibri"/>
      <family val="2"/>
      <charset val="1"/>
    </font>
    <font>
      <b/>
      <sz val="12"/>
      <color rgb="FFFFFFFF"/>
      <name val="Calibri"/>
      <family val="2"/>
    </font>
    <font>
      <b/>
      <sz val="10"/>
      <color rgb="FF2F5597"/>
      <name val="Calibri"/>
      <family val="2"/>
    </font>
    <font>
      <b/>
      <sz val="16"/>
      <color rgb="FFFFFFFF"/>
      <name val="Calibri"/>
      <family val="2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2C3E50"/>
      <name val="Calibri"/>
      <family val="2"/>
      <charset val="1"/>
    </font>
    <font>
      <sz val="9"/>
      <color rgb="FFFFFFFF"/>
      <name val="Calibri"/>
      <family val="2"/>
      <charset val="1"/>
    </font>
    <font>
      <sz val="11"/>
      <color rgb="FF375623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375623"/>
      <name val="Calibri"/>
      <family val="2"/>
      <charset val="1"/>
    </font>
    <font>
      <i/>
      <sz val="9"/>
      <color rgb="FF595959"/>
      <name val="Calibri"/>
      <family val="2"/>
      <charset val="1"/>
    </font>
    <font>
      <b/>
      <sz val="16"/>
      <color rgb="FFFFFFFF"/>
      <name val="Arial"/>
      <family val="2"/>
    </font>
    <font>
      <i/>
      <sz val="9"/>
      <color rgb="FFA8C0D6"/>
      <name val="Arial"/>
      <family val="2"/>
    </font>
    <font>
      <b/>
      <sz val="11"/>
      <color rgb="FFFFFFFF"/>
      <name val="Arial"/>
      <family val="2"/>
    </font>
    <font>
      <sz val="10"/>
      <color rgb="FF2C3E50"/>
      <name val="Arial"/>
      <family val="2"/>
    </font>
    <font>
      <b/>
      <sz val="10"/>
      <color rgb="FF000000"/>
      <name val="Arial"/>
      <family val="2"/>
    </font>
    <font>
      <b/>
      <sz val="10"/>
      <color rgb="FF2C3E5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375623"/>
      <name val="Arial"/>
      <family val="2"/>
    </font>
    <font>
      <i/>
      <sz val="8"/>
      <color rgb="FF808080"/>
      <name val="Arial"/>
      <family val="2"/>
    </font>
    <font>
      <b/>
      <i/>
      <sz val="8"/>
      <color rgb="FF808080"/>
      <name val="Arial"/>
      <family val="2"/>
    </font>
    <font>
      <b/>
      <sz val="12"/>
      <color rgb="FFFFFFFF"/>
      <name val="Arial"/>
      <family val="2"/>
    </font>
    <font>
      <b/>
      <sz val="10"/>
      <color rgb="FF375623"/>
      <name val="Arial"/>
      <family val="2"/>
    </font>
    <font>
      <i/>
      <sz val="9"/>
      <color rgb="FFFFFFFF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0"/>
      <color rgb="FF006600"/>
      <name val="Arial"/>
      <family val="2"/>
    </font>
    <font>
      <i/>
      <sz val="10"/>
      <color rgb="FF7F3F00"/>
      <name val="Arial"/>
      <family val="2"/>
    </font>
    <font>
      <i/>
      <sz val="10"/>
      <color rgb="FF00008B"/>
      <name val="Arial"/>
      <family val="2"/>
    </font>
    <font>
      <sz val="11"/>
      <color rgb="FF2F5597"/>
      <name val="Calibri"/>
      <family val="2"/>
      <charset val="1"/>
    </font>
    <font>
      <b/>
      <sz val="11"/>
      <color rgb="FF2F5597"/>
      <name val="Calibri"/>
      <family val="2"/>
      <charset val="1"/>
    </font>
    <font>
      <sz val="10"/>
      <color rgb="FF2F5597"/>
      <name val="Arial"/>
      <family val="2"/>
    </font>
    <font>
      <sz val="11"/>
      <color rgb="FF2F5597"/>
      <name val="Calibri"/>
      <family val="2"/>
    </font>
    <font>
      <b/>
      <sz val="11"/>
      <name val="Calibri"/>
      <family val="2"/>
    </font>
    <font>
      <b/>
      <sz val="11"/>
      <color rgb="FF375623"/>
      <name val="Calibri"/>
      <family val="2"/>
    </font>
    <font>
      <sz val="11"/>
      <color rgb="FFFFFFFF"/>
      <name val="Calibri"/>
      <family val="2"/>
    </font>
    <font>
      <sz val="11"/>
      <color rgb="FF375623"/>
      <name val="Calibri"/>
      <family val="2"/>
    </font>
    <font>
      <sz val="11"/>
      <color rgb="FF4A7FA5"/>
      <name val="Calibri"/>
      <family val="2"/>
    </font>
    <font>
      <b/>
      <sz val="11"/>
      <color rgb="FF1A2E42"/>
      <name val="Calibri"/>
      <family val="2"/>
    </font>
    <font>
      <sz val="8"/>
      <name val="Calibri"/>
      <family val="2"/>
      <charset val="1"/>
    </font>
    <font>
      <b/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F81BD"/>
        <bgColor rgb="FF558ED5"/>
      </patternFill>
    </fill>
    <fill>
      <patternFill patternType="solid">
        <fgColor rgb="FFEBF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4F5"/>
        <bgColor indexed="64"/>
      </patternFill>
    </fill>
    <fill>
      <patternFill patternType="solid">
        <fgColor rgb="FF2E4057"/>
        <bgColor indexed="64"/>
      </patternFill>
    </fill>
    <fill>
      <patternFill patternType="solid">
        <fgColor rgb="FF1A2E42"/>
        <bgColor indexed="64"/>
      </patternFill>
    </fill>
    <fill>
      <patternFill patternType="solid">
        <fgColor rgb="FFFAFBFC"/>
        <bgColor indexed="64"/>
      </patternFill>
    </fill>
    <fill>
      <patternFill patternType="solid">
        <fgColor rgb="FF2E4F6E"/>
        <bgColor indexed="64"/>
      </patternFill>
    </fill>
    <fill>
      <patternFill patternType="solid">
        <fgColor rgb="FFF0F4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6"/>
        <bgColor indexed="64"/>
      </patternFill>
    </fill>
    <fill>
      <patternFill patternType="solid">
        <fgColor rgb="FFD7E4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2E4057"/>
      </bottom>
      <diagonal/>
    </border>
    <border>
      <left/>
      <right/>
      <top style="thin">
        <color rgb="FF2E4057"/>
      </top>
      <bottom style="thin">
        <color rgb="FF2E4057"/>
      </bottom>
      <diagonal/>
    </border>
    <border>
      <left/>
      <right/>
      <top/>
      <bottom style="medium">
        <color rgb="FFB0C4D8"/>
      </bottom>
      <diagonal/>
    </border>
    <border>
      <left/>
      <right/>
      <top/>
      <bottom style="hair">
        <color rgb="FFE8EEF4"/>
      </bottom>
      <diagonal/>
    </border>
    <border>
      <left/>
      <right/>
      <top style="hair">
        <color rgb="FFE8EEF4"/>
      </top>
      <bottom style="hair">
        <color rgb="FFE8EEF4"/>
      </bottom>
      <diagonal/>
    </border>
    <border>
      <left/>
      <right/>
      <top style="hair">
        <color rgb="FFE8EEF4"/>
      </top>
      <bottom/>
      <diagonal/>
    </border>
    <border>
      <left/>
      <right/>
      <top style="thin">
        <color rgb="FF2E4057"/>
      </top>
      <bottom/>
      <diagonal/>
    </border>
    <border>
      <left/>
      <right/>
      <top style="thin">
        <color rgb="FF2E4057"/>
      </top>
      <bottom style="double">
        <color rgb="FF2E4057"/>
      </bottom>
      <diagonal/>
    </border>
    <border>
      <left style="thin">
        <color rgb="FF2E4057"/>
      </left>
      <right style="thin">
        <color rgb="FF2E4057"/>
      </right>
      <top/>
      <bottom/>
      <diagonal/>
    </border>
    <border>
      <left style="thin">
        <color rgb="FF2E4057"/>
      </left>
      <right style="thin">
        <color rgb="FF2E4057"/>
      </right>
      <top style="thin">
        <color rgb="FF2E4057"/>
      </top>
      <bottom style="thin">
        <color rgb="FF2E4057"/>
      </bottom>
      <diagonal/>
    </border>
    <border>
      <left style="thin">
        <color rgb="FF2E4057"/>
      </left>
      <right style="thin">
        <color rgb="FF2E4057"/>
      </right>
      <top style="thin">
        <color rgb="FF2E4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1">
      <alignment horizontal="left"/>
    </xf>
    <xf numFmtId="0" fontId="11" fillId="0" borderId="0" applyNumberFormat="0" applyFill="0" applyBorder="0" applyAlignment="0" applyProtection="0"/>
    <xf numFmtId="9" fontId="65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4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3" fontId="5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0" fillId="4" borderId="0" xfId="0" applyFill="1"/>
    <xf numFmtId="0" fontId="12" fillId="6" borderId="0" xfId="0" applyFont="1" applyFill="1"/>
    <xf numFmtId="0" fontId="13" fillId="7" borderId="0" xfId="0" applyFont="1" applyFill="1"/>
    <xf numFmtId="0" fontId="16" fillId="4" borderId="0" xfId="0" applyFont="1" applyFill="1"/>
    <xf numFmtId="0" fontId="18" fillId="4" borderId="0" xfId="0" applyFont="1" applyFill="1"/>
    <xf numFmtId="0" fontId="20" fillId="4" borderId="0" xfId="0" applyFont="1" applyFill="1"/>
    <xf numFmtId="3" fontId="17" fillId="4" borderId="0" xfId="0" applyNumberFormat="1" applyFont="1" applyFill="1"/>
    <xf numFmtId="166" fontId="17" fillId="3" borderId="0" xfId="0" applyNumberFormat="1" applyFont="1" applyFill="1"/>
    <xf numFmtId="0" fontId="17" fillId="4" borderId="0" xfId="0" applyFont="1" applyFill="1"/>
    <xf numFmtId="0" fontId="16" fillId="4" borderId="0" xfId="0" applyFont="1" applyFill="1" applyAlignment="1">
      <alignment vertical="top"/>
    </xf>
    <xf numFmtId="0" fontId="27" fillId="4" borderId="0" xfId="0" applyFont="1" applyFill="1" applyAlignment="1">
      <alignment vertical="top"/>
    </xf>
    <xf numFmtId="0" fontId="28" fillId="4" borderId="0" xfId="0" applyFont="1" applyFill="1" applyAlignment="1">
      <alignment wrapText="1"/>
    </xf>
    <xf numFmtId="0" fontId="21" fillId="5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6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6" fillId="4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1" fillId="5" borderId="3" xfId="0" applyFont="1" applyFill="1" applyBorder="1" applyAlignment="1">
      <alignment horizontal="left"/>
    </xf>
    <xf numFmtId="0" fontId="14" fillId="9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left" vertical="center"/>
    </xf>
    <xf numFmtId="0" fontId="14" fillId="7" borderId="0" xfId="0" applyFont="1" applyFill="1"/>
    <xf numFmtId="0" fontId="33" fillId="8" borderId="0" xfId="0" applyFont="1" applyFill="1"/>
    <xf numFmtId="0" fontId="33" fillId="10" borderId="0" xfId="0" applyFont="1" applyFill="1"/>
    <xf numFmtId="0" fontId="33" fillId="8" borderId="0" xfId="0" applyFont="1" applyFill="1" applyAlignment="1">
      <alignment horizontal="left"/>
    </xf>
    <xf numFmtId="3" fontId="36" fillId="8" borderId="0" xfId="0" applyNumberFormat="1" applyFont="1" applyFill="1" applyAlignment="1">
      <alignment horizontal="right" vertical="center"/>
    </xf>
    <xf numFmtId="0" fontId="37" fillId="8" borderId="0" xfId="0" applyFont="1" applyFill="1" applyAlignment="1">
      <alignment horizontal="left" vertical="center"/>
    </xf>
    <xf numFmtId="0" fontId="36" fillId="8" borderId="0" xfId="0" applyFont="1" applyFill="1" applyAlignment="1">
      <alignment horizontal="right" vertical="center"/>
    </xf>
    <xf numFmtId="168" fontId="36" fillId="8" borderId="0" xfId="0" applyNumberFormat="1" applyFont="1" applyFill="1" applyAlignment="1">
      <alignment horizontal="right" vertical="center"/>
    </xf>
    <xf numFmtId="10" fontId="32" fillId="8" borderId="0" xfId="0" applyNumberFormat="1" applyFont="1" applyFill="1" applyAlignment="1">
      <alignment horizontal="right" vertical="center"/>
    </xf>
    <xf numFmtId="0" fontId="33" fillId="8" borderId="0" xfId="0" applyFont="1" applyFill="1" applyAlignment="1">
      <alignment horizontal="left" vertical="center" indent="1"/>
    </xf>
    <xf numFmtId="0" fontId="35" fillId="8" borderId="0" xfId="2" applyFont="1" applyFill="1" applyBorder="1" applyAlignment="1">
      <alignment horizontal="left" vertical="center" indent="1"/>
    </xf>
    <xf numFmtId="0" fontId="35" fillId="10" borderId="0" xfId="2" applyFont="1" applyFill="1" applyBorder="1" applyAlignment="1">
      <alignment horizontal="left" vertical="center" indent="1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left" vertical="center"/>
    </xf>
    <xf numFmtId="0" fontId="30" fillId="8" borderId="0" xfId="0" applyFont="1" applyFill="1" applyAlignment="1">
      <alignment vertical="center"/>
    </xf>
    <xf numFmtId="0" fontId="31" fillId="8" borderId="0" xfId="0" applyFont="1" applyFill="1" applyAlignment="1">
      <alignment vertical="center"/>
    </xf>
    <xf numFmtId="0" fontId="14" fillId="7" borderId="0" xfId="0" applyFont="1" applyFill="1" applyAlignment="1">
      <alignment horizontal="left" vertical="center" indent="1"/>
    </xf>
    <xf numFmtId="0" fontId="20" fillId="8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0" fontId="29" fillId="8" borderId="0" xfId="0" applyFont="1" applyFill="1" applyAlignment="1">
      <alignment horizontal="left" vertical="center"/>
    </xf>
    <xf numFmtId="0" fontId="20" fillId="7" borderId="0" xfId="0" applyFont="1" applyFill="1"/>
    <xf numFmtId="0" fontId="14" fillId="9" borderId="0" xfId="0" applyFont="1" applyFill="1" applyAlignment="1">
      <alignment horizontal="left" vertical="center" indent="1"/>
    </xf>
    <xf numFmtId="0" fontId="33" fillId="10" borderId="4" xfId="0" applyFont="1" applyFill="1" applyBorder="1" applyAlignment="1">
      <alignment horizontal="left" vertical="center" indent="1"/>
    </xf>
    <xf numFmtId="166" fontId="36" fillId="10" borderId="4" xfId="0" applyNumberFormat="1" applyFont="1" applyFill="1" applyBorder="1" applyAlignment="1">
      <alignment horizontal="right" vertical="center"/>
    </xf>
    <xf numFmtId="0" fontId="37" fillId="10" borderId="4" xfId="0" applyFont="1" applyFill="1" applyBorder="1" applyAlignment="1">
      <alignment horizontal="left" vertical="center"/>
    </xf>
    <xf numFmtId="0" fontId="33" fillId="8" borderId="4" xfId="0" applyFont="1" applyFill="1" applyBorder="1" applyAlignment="1">
      <alignment horizontal="left" vertical="center" indent="1"/>
    </xf>
    <xf numFmtId="3" fontId="36" fillId="8" borderId="4" xfId="0" applyNumberFormat="1" applyFont="1" applyFill="1" applyBorder="1" applyAlignment="1">
      <alignment horizontal="right" vertical="center"/>
    </xf>
    <xf numFmtId="0" fontId="36" fillId="8" borderId="4" xfId="0" applyFont="1" applyFill="1" applyBorder="1" applyAlignment="1">
      <alignment horizontal="right" vertical="center"/>
    </xf>
    <xf numFmtId="0" fontId="37" fillId="8" borderId="4" xfId="0" applyFont="1" applyFill="1" applyBorder="1" applyAlignment="1">
      <alignment horizontal="left" vertical="center"/>
    </xf>
    <xf numFmtId="0" fontId="35" fillId="10" borderId="4" xfId="2" applyFont="1" applyFill="1" applyBorder="1" applyAlignment="1">
      <alignment horizontal="left" vertical="center" indent="1"/>
    </xf>
    <xf numFmtId="0" fontId="33" fillId="10" borderId="6" xfId="0" applyFont="1" applyFill="1" applyBorder="1" applyAlignment="1">
      <alignment horizontal="left" vertical="center" indent="1"/>
    </xf>
    <xf numFmtId="3" fontId="36" fillId="10" borderId="6" xfId="0" applyNumberFormat="1" applyFont="1" applyFill="1" applyBorder="1" applyAlignment="1">
      <alignment horizontal="right" vertical="center"/>
    </xf>
    <xf numFmtId="0" fontId="37" fillId="10" borderId="6" xfId="0" applyFont="1" applyFill="1" applyBorder="1" applyAlignment="1">
      <alignment horizontal="left" vertical="center"/>
    </xf>
    <xf numFmtId="0" fontId="33" fillId="10" borderId="7" xfId="0" applyFont="1" applyFill="1" applyBorder="1" applyAlignment="1">
      <alignment horizontal="left" vertical="center" indent="1"/>
    </xf>
    <xf numFmtId="3" fontId="36" fillId="10" borderId="7" xfId="0" applyNumberFormat="1" applyFont="1" applyFill="1" applyBorder="1" applyAlignment="1">
      <alignment horizontal="right" vertical="center"/>
    </xf>
    <xf numFmtId="0" fontId="37" fillId="10" borderId="7" xfId="0" applyFont="1" applyFill="1" applyBorder="1" applyAlignment="1">
      <alignment horizontal="left" vertical="center"/>
    </xf>
    <xf numFmtId="0" fontId="33" fillId="8" borderId="6" xfId="0" applyFont="1" applyFill="1" applyBorder="1" applyAlignment="1">
      <alignment horizontal="left" vertical="center" indent="1"/>
    </xf>
    <xf numFmtId="3" fontId="36" fillId="8" borderId="6" xfId="0" applyNumberFormat="1" applyFont="1" applyFill="1" applyBorder="1" applyAlignment="1">
      <alignment horizontal="right" vertical="center"/>
    </xf>
    <xf numFmtId="0" fontId="37" fillId="8" borderId="6" xfId="0" applyFont="1" applyFill="1" applyBorder="1" applyAlignment="1">
      <alignment horizontal="left" vertical="center"/>
    </xf>
    <xf numFmtId="0" fontId="36" fillId="10" borderId="6" xfId="0" applyFont="1" applyFill="1" applyBorder="1" applyAlignment="1">
      <alignment horizontal="right" vertical="center"/>
    </xf>
    <xf numFmtId="168" fontId="36" fillId="10" borderId="7" xfId="0" applyNumberFormat="1" applyFont="1" applyFill="1" applyBorder="1" applyAlignment="1">
      <alignment horizontal="right" vertical="center"/>
    </xf>
    <xf numFmtId="168" fontId="36" fillId="8" borderId="6" xfId="0" applyNumberFormat="1" applyFont="1" applyFill="1" applyBorder="1" applyAlignment="1">
      <alignment horizontal="right" vertical="center"/>
    </xf>
    <xf numFmtId="0" fontId="36" fillId="10" borderId="7" xfId="0" applyFont="1" applyFill="1" applyBorder="1" applyAlignment="1">
      <alignment horizontal="right" vertical="center"/>
    </xf>
    <xf numFmtId="0" fontId="33" fillId="8" borderId="7" xfId="0" applyFont="1" applyFill="1" applyBorder="1" applyAlignment="1">
      <alignment horizontal="left" vertical="center" indent="1"/>
    </xf>
    <xf numFmtId="0" fontId="36" fillId="8" borderId="7" xfId="0" applyFont="1" applyFill="1" applyBorder="1" applyAlignment="1">
      <alignment horizontal="right" vertical="center"/>
    </xf>
    <xf numFmtId="0" fontId="37" fillId="8" borderId="7" xfId="0" applyFont="1" applyFill="1" applyBorder="1" applyAlignment="1">
      <alignment horizontal="left" vertical="center"/>
    </xf>
    <xf numFmtId="0" fontId="35" fillId="8" borderId="5" xfId="2" applyFont="1" applyFill="1" applyBorder="1" applyAlignment="1">
      <alignment horizontal="left" vertical="center" indent="1"/>
    </xf>
    <xf numFmtId="0" fontId="35" fillId="10" borderId="7" xfId="2" applyFont="1" applyFill="1" applyBorder="1" applyAlignment="1">
      <alignment horizontal="left" vertical="center" indent="1"/>
    </xf>
    <xf numFmtId="0" fontId="35" fillId="8" borderId="6" xfId="2" applyFont="1" applyFill="1" applyBorder="1" applyAlignment="1">
      <alignment horizontal="left" vertical="center" indent="1"/>
    </xf>
    <xf numFmtId="170" fontId="39" fillId="10" borderId="7" xfId="0" applyNumberFormat="1" applyFont="1" applyFill="1" applyBorder="1" applyAlignment="1">
      <alignment horizontal="right" vertical="center"/>
    </xf>
    <xf numFmtId="170" fontId="40" fillId="8" borderId="7" xfId="0" applyNumberFormat="1" applyFont="1" applyFill="1" applyBorder="1" applyAlignment="1">
      <alignment horizontal="right" vertical="center"/>
    </xf>
    <xf numFmtId="173" fontId="39" fillId="8" borderId="4" xfId="0" applyNumberFormat="1" applyFont="1" applyFill="1" applyBorder="1" applyAlignment="1">
      <alignment horizontal="right" vertical="center"/>
    </xf>
    <xf numFmtId="173" fontId="40" fillId="8" borderId="4" xfId="0" applyNumberFormat="1" applyFont="1" applyFill="1" applyBorder="1" applyAlignment="1">
      <alignment horizontal="right" vertical="center"/>
    </xf>
    <xf numFmtId="0" fontId="42" fillId="7" borderId="0" xfId="0" applyFont="1" applyFill="1" applyAlignment="1">
      <alignment horizontal="left" vertical="center" indent="1"/>
    </xf>
    <xf numFmtId="0" fontId="27" fillId="7" borderId="0" xfId="0" applyFont="1" applyFill="1" applyAlignment="1">
      <alignment horizontal="left" vertical="center" indent="1"/>
    </xf>
    <xf numFmtId="49" fontId="36" fillId="8" borderId="0" xfId="0" applyNumberFormat="1" applyFont="1" applyFill="1" applyAlignment="1">
      <alignment horizontal="right" vertical="center"/>
    </xf>
    <xf numFmtId="0" fontId="38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2" fillId="10" borderId="6" xfId="0" applyFont="1" applyFill="1" applyBorder="1" applyAlignment="1">
      <alignment horizontal="right" vertical="center"/>
    </xf>
    <xf numFmtId="0" fontId="43" fillId="5" borderId="3" xfId="0" applyFont="1" applyFill="1" applyBorder="1" applyAlignment="1">
      <alignment horizontal="center"/>
    </xf>
    <xf numFmtId="0" fontId="43" fillId="5" borderId="0" xfId="0" applyFont="1" applyFill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1" fillId="8" borderId="8" xfId="0" applyFont="1" applyFill="1" applyBorder="1" applyAlignment="1">
      <alignment horizontal="center"/>
    </xf>
    <xf numFmtId="176" fontId="16" fillId="8" borderId="8" xfId="0" applyNumberFormat="1" applyFont="1" applyFill="1" applyBorder="1" applyAlignment="1">
      <alignment horizontal="right"/>
    </xf>
    <xf numFmtId="0" fontId="41" fillId="8" borderId="0" xfId="0" applyFont="1" applyFill="1" applyAlignment="1">
      <alignment horizontal="center"/>
    </xf>
    <xf numFmtId="176" fontId="16" fillId="8" borderId="0" xfId="0" applyNumberFormat="1" applyFont="1" applyFill="1" applyAlignment="1">
      <alignment horizontal="right"/>
    </xf>
    <xf numFmtId="0" fontId="21" fillId="5" borderId="8" xfId="0" applyFont="1" applyFill="1" applyBorder="1" applyAlignment="1">
      <alignment horizontal="left"/>
    </xf>
    <xf numFmtId="0" fontId="43" fillId="5" borderId="8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right"/>
    </xf>
    <xf numFmtId="0" fontId="13" fillId="7" borderId="0" xfId="0" applyFont="1" applyFill="1" applyAlignment="1">
      <alignment horizontal="left"/>
    </xf>
    <xf numFmtId="0" fontId="13" fillId="7" borderId="0" xfId="0" applyFont="1" applyFill="1" applyAlignment="1">
      <alignment horizontal="center"/>
    </xf>
    <xf numFmtId="0" fontId="13" fillId="7" borderId="0" xfId="0" applyFont="1" applyFill="1" applyAlignment="1">
      <alignment horizontal="right"/>
    </xf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right"/>
    </xf>
    <xf numFmtId="0" fontId="43" fillId="7" borderId="0" xfId="0" applyFont="1" applyFill="1" applyAlignment="1">
      <alignment horizontal="center"/>
    </xf>
    <xf numFmtId="0" fontId="33" fillId="10" borderId="0" xfId="0" applyFont="1" applyFill="1" applyAlignment="1">
      <alignment horizontal="left"/>
    </xf>
    <xf numFmtId="0" fontId="41" fillId="10" borderId="0" xfId="0" applyFont="1" applyFill="1" applyAlignment="1">
      <alignment horizontal="center"/>
    </xf>
    <xf numFmtId="0" fontId="14" fillId="7" borderId="0" xfId="0" applyFont="1" applyFill="1" applyAlignment="1">
      <alignment horizontal="left"/>
    </xf>
    <xf numFmtId="0" fontId="14" fillId="7" borderId="0" xfId="0" applyFont="1" applyFill="1" applyAlignment="1">
      <alignment horizontal="center"/>
    </xf>
    <xf numFmtId="0" fontId="14" fillId="7" borderId="0" xfId="0" applyFont="1" applyFill="1" applyAlignment="1">
      <alignment horizontal="right"/>
    </xf>
    <xf numFmtId="176" fontId="14" fillId="7" borderId="0" xfId="0" applyNumberFormat="1" applyFont="1" applyFill="1" applyAlignment="1">
      <alignment horizontal="right"/>
    </xf>
    <xf numFmtId="0" fontId="44" fillId="7" borderId="0" xfId="0" applyFont="1" applyFill="1" applyAlignment="1">
      <alignment horizontal="center"/>
    </xf>
    <xf numFmtId="0" fontId="52" fillId="7" borderId="0" xfId="0" applyFont="1" applyFill="1" applyAlignment="1">
      <alignment horizontal="right"/>
    </xf>
    <xf numFmtId="176" fontId="33" fillId="8" borderId="0" xfId="0" applyNumberFormat="1" applyFont="1" applyFill="1" applyAlignment="1">
      <alignment horizontal="right"/>
    </xf>
    <xf numFmtId="0" fontId="33" fillId="8" borderId="0" xfId="0" applyFont="1" applyFill="1" applyAlignment="1">
      <alignment horizontal="right"/>
    </xf>
    <xf numFmtId="176" fontId="21" fillId="5" borderId="8" xfId="0" applyNumberFormat="1" applyFont="1" applyFill="1" applyBorder="1" applyAlignment="1">
      <alignment horizontal="left"/>
    </xf>
    <xf numFmtId="176" fontId="43" fillId="5" borderId="8" xfId="0" applyNumberFormat="1" applyFont="1" applyFill="1" applyBorder="1" applyAlignment="1">
      <alignment horizontal="center"/>
    </xf>
    <xf numFmtId="171" fontId="33" fillId="8" borderId="8" xfId="0" applyNumberFormat="1" applyFont="1" applyFill="1" applyBorder="1" applyAlignment="1">
      <alignment horizontal="right"/>
    </xf>
    <xf numFmtId="171" fontId="14" fillId="7" borderId="0" xfId="0" applyNumberFormat="1" applyFont="1" applyFill="1" applyAlignment="1">
      <alignment horizontal="right"/>
    </xf>
    <xf numFmtId="168" fontId="17" fillId="10" borderId="0" xfId="0" applyNumberFormat="1" applyFont="1" applyFill="1" applyAlignment="1">
      <alignment horizontal="right"/>
    </xf>
    <xf numFmtId="168" fontId="23" fillId="10" borderId="0" xfId="0" applyNumberFormat="1" applyFont="1" applyFill="1" applyAlignment="1">
      <alignment horizontal="right"/>
    </xf>
    <xf numFmtId="0" fontId="16" fillId="8" borderId="8" xfId="0" applyFont="1" applyFill="1" applyBorder="1" applyAlignment="1">
      <alignment horizontal="right"/>
    </xf>
    <xf numFmtId="0" fontId="43" fillId="7" borderId="0" xfId="0" applyFont="1" applyFill="1" applyAlignment="1">
      <alignment horizontal="right"/>
    </xf>
    <xf numFmtId="0" fontId="14" fillId="6" borderId="0" xfId="0" applyFont="1" applyFill="1"/>
    <xf numFmtId="10" fontId="17" fillId="8" borderId="0" xfId="0" applyNumberFormat="1" applyFont="1" applyFill="1"/>
    <xf numFmtId="10" fontId="17" fillId="10" borderId="0" xfId="0" applyNumberFormat="1" applyFont="1" applyFill="1"/>
    <xf numFmtId="3" fontId="17" fillId="8" borderId="0" xfId="0" applyNumberFormat="1" applyFont="1" applyFill="1"/>
    <xf numFmtId="3" fontId="17" fillId="10" borderId="0" xfId="0" applyNumberFormat="1" applyFont="1" applyFill="1"/>
    <xf numFmtId="0" fontId="54" fillId="4" borderId="0" xfId="0" applyFont="1" applyFill="1"/>
    <xf numFmtId="0" fontId="34" fillId="8" borderId="0" xfId="0" applyFont="1" applyFill="1"/>
    <xf numFmtId="0" fontId="17" fillId="10" borderId="0" xfId="0" applyFont="1" applyFill="1"/>
    <xf numFmtId="0" fontId="21" fillId="8" borderId="0" xfId="0" applyFont="1" applyFill="1"/>
    <xf numFmtId="0" fontId="33" fillId="3" borderId="0" xfId="0" applyFont="1" applyFill="1"/>
    <xf numFmtId="0" fontId="33" fillId="4" borderId="0" xfId="0" applyFont="1" applyFill="1"/>
    <xf numFmtId="0" fontId="34" fillId="3" borderId="0" xfId="0" applyFont="1" applyFill="1"/>
    <xf numFmtId="167" fontId="47" fillId="8" borderId="0" xfId="0" applyNumberFormat="1" applyFont="1" applyFill="1"/>
    <xf numFmtId="0" fontId="33" fillId="10" borderId="2" xfId="0" applyFont="1" applyFill="1" applyBorder="1"/>
    <xf numFmtId="0" fontId="33" fillId="3" borderId="2" xfId="0" applyFont="1" applyFill="1" applyBorder="1"/>
    <xf numFmtId="0" fontId="33" fillId="8" borderId="2" xfId="0" applyFont="1" applyFill="1" applyBorder="1"/>
    <xf numFmtId="6" fontId="17" fillId="8" borderId="2" xfId="0" applyNumberFormat="1" applyFont="1" applyFill="1" applyBorder="1"/>
    <xf numFmtId="0" fontId="34" fillId="5" borderId="3" xfId="0" applyFont="1" applyFill="1" applyBorder="1"/>
    <xf numFmtId="0" fontId="33" fillId="5" borderId="3" xfId="0" applyFont="1" applyFill="1" applyBorder="1"/>
    <xf numFmtId="0" fontId="21" fillId="5" borderId="3" xfId="0" applyFont="1" applyFill="1" applyBorder="1"/>
    <xf numFmtId="0" fontId="15" fillId="7" borderId="0" xfId="0" applyFont="1" applyFill="1"/>
    <xf numFmtId="0" fontId="56" fillId="7" borderId="0" xfId="0" applyFont="1" applyFill="1"/>
    <xf numFmtId="0" fontId="14" fillId="6" borderId="0" xfId="0" applyFont="1" applyFill="1" applyAlignment="1">
      <alignment horizontal="right"/>
    </xf>
    <xf numFmtId="0" fontId="55" fillId="6" borderId="0" xfId="0" applyFont="1" applyFill="1" applyAlignment="1">
      <alignment horizontal="right"/>
    </xf>
    <xf numFmtId="0" fontId="57" fillId="7" borderId="0" xfId="0" applyFont="1" applyFill="1"/>
    <xf numFmtId="0" fontId="10" fillId="7" borderId="0" xfId="0" applyFont="1" applyFill="1"/>
    <xf numFmtId="0" fontId="58" fillId="6" borderId="0" xfId="0" applyFont="1" applyFill="1"/>
    <xf numFmtId="172" fontId="14" fillId="7" borderId="0" xfId="0" applyNumberFormat="1" applyFont="1" applyFill="1"/>
    <xf numFmtId="3" fontId="17" fillId="3" borderId="2" xfId="0" applyNumberFormat="1" applyFont="1" applyFill="1" applyBorder="1"/>
    <xf numFmtId="169" fontId="24" fillId="5" borderId="3" xfId="0" applyNumberFormat="1" applyFont="1" applyFill="1" applyBorder="1"/>
    <xf numFmtId="170" fontId="17" fillId="8" borderId="0" xfId="0" applyNumberFormat="1" applyFont="1" applyFill="1" applyAlignment="1">
      <alignment horizontal="right"/>
    </xf>
    <xf numFmtId="170" fontId="17" fillId="10" borderId="0" xfId="0" applyNumberFormat="1" applyFont="1" applyFill="1" applyAlignment="1">
      <alignment horizontal="right"/>
    </xf>
    <xf numFmtId="0" fontId="49" fillId="4" borderId="0" xfId="0" applyFont="1" applyFill="1"/>
    <xf numFmtId="0" fontId="57" fillId="4" borderId="0" xfId="0" applyFont="1" applyFill="1"/>
    <xf numFmtId="0" fontId="52" fillId="6" borderId="0" xfId="0" applyFont="1" applyFill="1"/>
    <xf numFmtId="0" fontId="61" fillId="8" borderId="0" xfId="0" applyFont="1" applyFill="1"/>
    <xf numFmtId="0" fontId="61" fillId="10" borderId="0" xfId="0" applyFont="1" applyFill="1"/>
    <xf numFmtId="0" fontId="60" fillId="3" borderId="8" xfId="0" applyFont="1" applyFill="1" applyBorder="1"/>
    <xf numFmtId="0" fontId="51" fillId="5" borderId="8" xfId="0" applyFont="1" applyFill="1" applyBorder="1"/>
    <xf numFmtId="0" fontId="14" fillId="6" borderId="0" xfId="0" applyFont="1" applyFill="1" applyAlignment="1">
      <alignment horizontal="left"/>
    </xf>
    <xf numFmtId="0" fontId="21" fillId="5" borderId="9" xfId="0" applyFont="1" applyFill="1" applyBorder="1"/>
    <xf numFmtId="0" fontId="15" fillId="7" borderId="0" xfId="0" applyFont="1" applyFill="1" applyAlignment="1">
      <alignment horizontal="left"/>
    </xf>
    <xf numFmtId="9" fontId="14" fillId="6" borderId="0" xfId="0" applyNumberFormat="1" applyFont="1" applyFill="1" applyAlignment="1">
      <alignment horizontal="right"/>
    </xf>
    <xf numFmtId="170" fontId="17" fillId="5" borderId="10" xfId="0" applyNumberFormat="1" applyFont="1" applyFill="1" applyBorder="1" applyAlignment="1">
      <alignment horizontal="right"/>
    </xf>
    <xf numFmtId="9" fontId="14" fillId="6" borderId="12" xfId="0" applyNumberFormat="1" applyFont="1" applyFill="1" applyBorder="1" applyAlignment="1">
      <alignment horizontal="right"/>
    </xf>
    <xf numFmtId="177" fontId="14" fillId="6" borderId="0" xfId="0" applyNumberFormat="1" applyFont="1" applyFill="1" applyAlignment="1">
      <alignment horizontal="right"/>
    </xf>
    <xf numFmtId="177" fontId="14" fillId="6" borderId="12" xfId="0" applyNumberFormat="1" applyFont="1" applyFill="1" applyBorder="1" applyAlignment="1">
      <alignment horizontal="right"/>
    </xf>
    <xf numFmtId="0" fontId="17" fillId="8" borderId="0" xfId="0" quotePrefix="1" applyFont="1" applyFill="1"/>
    <xf numFmtId="0" fontId="21" fillId="3" borderId="3" xfId="0" applyFont="1" applyFill="1" applyBorder="1" applyAlignment="1">
      <alignment horizontal="left"/>
    </xf>
    <xf numFmtId="0" fontId="45" fillId="3" borderId="3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right"/>
    </xf>
    <xf numFmtId="0" fontId="14" fillId="6" borderId="0" xfId="0" applyFont="1" applyFill="1" applyAlignment="1">
      <alignment horizontal="center"/>
    </xf>
    <xf numFmtId="178" fontId="47" fillId="10" borderId="0" xfId="0" applyNumberFormat="1" applyFont="1" applyFill="1"/>
    <xf numFmtId="49" fontId="14" fillId="6" borderId="0" xfId="0" applyNumberFormat="1" applyFont="1" applyFill="1" applyAlignment="1">
      <alignment horizontal="right"/>
    </xf>
    <xf numFmtId="0" fontId="64" fillId="7" borderId="0" xfId="0" applyFont="1" applyFill="1" applyAlignment="1">
      <alignment horizontal="left"/>
    </xf>
    <xf numFmtId="0" fontId="62" fillId="9" borderId="0" xfId="0" applyFont="1" applyFill="1" applyAlignment="1">
      <alignment horizontal="left"/>
    </xf>
    <xf numFmtId="0" fontId="43" fillId="7" borderId="0" xfId="0" applyFont="1" applyFill="1"/>
    <xf numFmtId="0" fontId="45" fillId="7" borderId="0" xfId="0" applyFont="1" applyFill="1" applyAlignment="1">
      <alignment horizontal="center"/>
    </xf>
    <xf numFmtId="0" fontId="46" fillId="8" borderId="0" xfId="0" applyFont="1" applyFill="1" applyAlignment="1">
      <alignment horizontal="center"/>
    </xf>
    <xf numFmtId="0" fontId="46" fillId="10" borderId="0" xfId="0" applyFont="1" applyFill="1" applyAlignment="1">
      <alignment horizontal="center"/>
    </xf>
    <xf numFmtId="0" fontId="21" fillId="5" borderId="2" xfId="0" applyFont="1" applyFill="1" applyBorder="1" applyAlignment="1">
      <alignment horizontal="left"/>
    </xf>
    <xf numFmtId="0" fontId="45" fillId="5" borderId="2" xfId="0" applyFont="1" applyFill="1" applyBorder="1" applyAlignment="1">
      <alignment horizontal="center"/>
    </xf>
    <xf numFmtId="0" fontId="16" fillId="8" borderId="0" xfId="0" applyFont="1" applyFill="1" applyAlignment="1">
      <alignment horizontal="right"/>
    </xf>
    <xf numFmtId="0" fontId="33" fillId="3" borderId="0" xfId="0" applyFont="1" applyFill="1" applyAlignment="1">
      <alignment horizontal="left"/>
    </xf>
    <xf numFmtId="0" fontId="46" fillId="3" borderId="0" xfId="0" applyFont="1" applyFill="1" applyAlignment="1">
      <alignment horizontal="center"/>
    </xf>
    <xf numFmtId="175" fontId="17" fillId="3" borderId="0" xfId="0" applyNumberFormat="1" applyFont="1" applyFill="1" applyAlignment="1">
      <alignment horizontal="right"/>
    </xf>
    <xf numFmtId="0" fontId="45" fillId="5" borderId="0" xfId="0" applyFont="1" applyFill="1" applyAlignment="1">
      <alignment horizontal="center"/>
    </xf>
    <xf numFmtId="175" fontId="17" fillId="10" borderId="0" xfId="0" applyNumberFormat="1" applyFont="1" applyFill="1" applyAlignment="1">
      <alignment horizontal="right"/>
    </xf>
    <xf numFmtId="175" fontId="17" fillId="8" borderId="0" xfId="0" applyNumberFormat="1" applyFont="1" applyFill="1" applyAlignment="1">
      <alignment horizontal="right"/>
    </xf>
    <xf numFmtId="0" fontId="64" fillId="6" borderId="0" xfId="0" applyFont="1" applyFill="1"/>
    <xf numFmtId="0" fontId="12" fillId="6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41" fillId="10" borderId="2" xfId="0" applyFont="1" applyFill="1" applyBorder="1" applyAlignment="1">
      <alignment horizontal="center"/>
    </xf>
    <xf numFmtId="0" fontId="41" fillId="4" borderId="0" xfId="0" applyFont="1" applyFill="1" applyAlignment="1">
      <alignment horizontal="center"/>
    </xf>
    <xf numFmtId="0" fontId="41" fillId="3" borderId="0" xfId="0" applyFont="1" applyFill="1" applyAlignment="1">
      <alignment horizontal="center"/>
    </xf>
    <xf numFmtId="0" fontId="41" fillId="3" borderId="2" xfId="0" applyFont="1" applyFill="1" applyBorder="1" applyAlignment="1">
      <alignment horizontal="center"/>
    </xf>
    <xf numFmtId="0" fontId="41" fillId="5" borderId="3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41" fillId="6" borderId="0" xfId="0" applyFont="1" applyFill="1" applyAlignment="1">
      <alignment horizontal="center"/>
    </xf>
    <xf numFmtId="0" fontId="48" fillId="8" borderId="0" xfId="0" applyFont="1" applyFill="1" applyAlignment="1">
      <alignment horizontal="center"/>
    </xf>
    <xf numFmtId="0" fontId="48" fillId="5" borderId="9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60" fillId="3" borderId="8" xfId="0" applyFont="1" applyFill="1" applyBorder="1" applyAlignment="1">
      <alignment horizontal="center"/>
    </xf>
    <xf numFmtId="0" fontId="51" fillId="5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8" borderId="0" xfId="0" applyFont="1" applyFill="1" applyAlignment="1">
      <alignment horizontal="right"/>
    </xf>
    <xf numFmtId="9" fontId="34" fillId="8" borderId="0" xfId="0" applyNumberFormat="1" applyFont="1" applyFill="1" applyAlignment="1">
      <alignment horizontal="right"/>
    </xf>
    <xf numFmtId="9" fontId="34" fillId="10" borderId="0" xfId="0" applyNumberFormat="1" applyFont="1" applyFill="1" applyAlignment="1">
      <alignment horizontal="right"/>
    </xf>
    <xf numFmtId="9" fontId="34" fillId="5" borderId="3" xfId="0" applyNumberFormat="1" applyFont="1" applyFill="1" applyBorder="1" applyAlignment="1">
      <alignment horizontal="right"/>
    </xf>
    <xf numFmtId="0" fontId="61" fillId="8" borderId="0" xfId="0" applyFont="1" applyFill="1" applyAlignment="1">
      <alignment horizontal="right"/>
    </xf>
    <xf numFmtId="0" fontId="61" fillId="10" borderId="0" xfId="0" applyFont="1" applyFill="1" applyAlignment="1">
      <alignment horizontal="right"/>
    </xf>
    <xf numFmtId="0" fontId="59" fillId="8" borderId="0" xfId="0" applyFont="1" applyFill="1" applyAlignment="1">
      <alignment horizontal="left"/>
    </xf>
    <xf numFmtId="0" fontId="59" fillId="10" borderId="0" xfId="0" applyFont="1" applyFill="1" applyAlignment="1">
      <alignment horizontal="left"/>
    </xf>
    <xf numFmtId="0" fontId="52" fillId="6" borderId="0" xfId="0" applyFont="1" applyFill="1" applyAlignment="1">
      <alignment vertical="top"/>
    </xf>
    <xf numFmtId="0" fontId="53" fillId="6" borderId="0" xfId="0" applyFont="1" applyFill="1" applyAlignment="1">
      <alignment horizontal="center" vertical="top"/>
    </xf>
    <xf numFmtId="0" fontId="52" fillId="6" borderId="0" xfId="0" applyFont="1" applyFill="1" applyAlignment="1">
      <alignment vertical="top" wrapText="1"/>
    </xf>
    <xf numFmtId="0" fontId="52" fillId="6" borderId="0" xfId="0" applyFont="1" applyFill="1" applyAlignment="1">
      <alignment horizontal="left" vertical="top"/>
    </xf>
    <xf numFmtId="170" fontId="32" fillId="3" borderId="0" xfId="0" applyNumberFormat="1" applyFont="1" applyFill="1" applyAlignment="1">
      <alignment horizontal="right" vertical="center"/>
    </xf>
    <xf numFmtId="0" fontId="60" fillId="3" borderId="8" xfId="0" applyFont="1" applyFill="1" applyBorder="1" applyAlignment="1">
      <alignment horizontal="right"/>
    </xf>
    <xf numFmtId="175" fontId="47" fillId="8" borderId="0" xfId="0" applyNumberFormat="1" applyFont="1" applyFill="1"/>
    <xf numFmtId="175" fontId="17" fillId="10" borderId="0" xfId="0" applyNumberFormat="1" applyFont="1" applyFill="1"/>
    <xf numFmtId="175" fontId="47" fillId="10" borderId="0" xfId="0" applyNumberFormat="1" applyFont="1" applyFill="1"/>
    <xf numFmtId="175" fontId="18" fillId="8" borderId="0" xfId="0" applyNumberFormat="1" applyFont="1" applyFill="1"/>
    <xf numFmtId="175" fontId="23" fillId="8" borderId="0" xfId="0" applyNumberFormat="1" applyFont="1" applyFill="1"/>
    <xf numFmtId="175" fontId="16" fillId="8" borderId="0" xfId="0" applyNumberFormat="1" applyFont="1" applyFill="1"/>
    <xf numFmtId="175" fontId="18" fillId="10" borderId="0" xfId="0" applyNumberFormat="1" applyFont="1" applyFill="1"/>
    <xf numFmtId="175" fontId="23" fillId="10" borderId="0" xfId="0" applyNumberFormat="1" applyFont="1" applyFill="1"/>
    <xf numFmtId="175" fontId="16" fillId="10" borderId="0" xfId="0" applyNumberFormat="1" applyFont="1" applyFill="1"/>
    <xf numFmtId="168" fontId="47" fillId="8" borderId="0" xfId="0" applyNumberFormat="1" applyFont="1" applyFill="1"/>
    <xf numFmtId="168" fontId="18" fillId="8" borderId="0" xfId="0" applyNumberFormat="1" applyFont="1" applyFill="1"/>
    <xf numFmtId="168" fontId="23" fillId="8" borderId="0" xfId="0" applyNumberFormat="1" applyFont="1" applyFill="1"/>
    <xf numFmtId="168" fontId="16" fillId="8" borderId="0" xfId="0" applyNumberFormat="1" applyFont="1" applyFill="1"/>
    <xf numFmtId="168" fontId="47" fillId="10" borderId="0" xfId="0" applyNumberFormat="1" applyFont="1" applyFill="1"/>
    <xf numFmtId="168" fontId="18" fillId="10" borderId="0" xfId="0" applyNumberFormat="1" applyFont="1" applyFill="1"/>
    <xf numFmtId="168" fontId="23" fillId="10" borderId="0" xfId="0" applyNumberFormat="1" applyFont="1" applyFill="1"/>
    <xf numFmtId="168" fontId="16" fillId="10" borderId="0" xfId="0" applyNumberFormat="1" applyFont="1" applyFill="1"/>
    <xf numFmtId="175" fontId="17" fillId="8" borderId="0" xfId="0" applyNumberFormat="1" applyFont="1" applyFill="1"/>
    <xf numFmtId="175" fontId="47" fillId="10" borderId="2" xfId="0" applyNumberFormat="1" applyFont="1" applyFill="1" applyBorder="1"/>
    <xf numFmtId="175" fontId="18" fillId="10" borderId="2" xfId="0" applyNumberFormat="1" applyFont="1" applyFill="1" applyBorder="1"/>
    <xf numFmtId="175" fontId="23" fillId="10" borderId="2" xfId="0" applyNumberFormat="1" applyFont="1" applyFill="1" applyBorder="1"/>
    <xf numFmtId="175" fontId="16" fillId="10" borderId="2" xfId="0" applyNumberFormat="1" applyFont="1" applyFill="1" applyBorder="1"/>
    <xf numFmtId="175" fontId="17" fillId="3" borderId="0" xfId="0" applyNumberFormat="1" applyFont="1" applyFill="1"/>
    <xf numFmtId="175" fontId="16" fillId="3" borderId="0" xfId="0" applyNumberFormat="1" applyFont="1" applyFill="1"/>
    <xf numFmtId="175" fontId="17" fillId="3" borderId="2" xfId="0" applyNumberFormat="1" applyFont="1" applyFill="1" applyBorder="1"/>
    <xf numFmtId="175" fontId="16" fillId="3" borderId="2" xfId="0" applyNumberFormat="1" applyFont="1" applyFill="1" applyBorder="1"/>
    <xf numFmtId="175" fontId="21" fillId="5" borderId="3" xfId="0" applyNumberFormat="1" applyFont="1" applyFill="1" applyBorder="1"/>
    <xf numFmtId="175" fontId="18" fillId="5" borderId="3" xfId="0" applyNumberFormat="1" applyFont="1" applyFill="1" applyBorder="1"/>
    <xf numFmtId="175" fontId="17" fillId="5" borderId="3" xfId="0" applyNumberFormat="1" applyFont="1" applyFill="1" applyBorder="1"/>
    <xf numFmtId="175" fontId="16" fillId="5" borderId="3" xfId="0" applyNumberFormat="1" applyFont="1" applyFill="1" applyBorder="1"/>
    <xf numFmtId="178" fontId="25" fillId="8" borderId="0" xfId="0" applyNumberFormat="1" applyFont="1" applyFill="1"/>
    <xf numFmtId="178" fontId="18" fillId="8" borderId="0" xfId="0" applyNumberFormat="1" applyFont="1" applyFill="1"/>
    <xf numFmtId="178" fontId="16" fillId="8" borderId="0" xfId="0" applyNumberFormat="1" applyFont="1" applyFill="1"/>
    <xf numFmtId="175" fontId="55" fillId="5" borderId="9" xfId="0" applyNumberFormat="1" applyFont="1" applyFill="1" applyBorder="1"/>
    <xf numFmtId="175" fontId="24" fillId="5" borderId="9" xfId="0" applyNumberFormat="1" applyFont="1" applyFill="1" applyBorder="1"/>
    <xf numFmtId="175" fontId="21" fillId="3" borderId="0" xfId="0" applyNumberFormat="1" applyFont="1" applyFill="1"/>
    <xf numFmtId="178" fontId="25" fillId="10" borderId="0" xfId="0" applyNumberFormat="1" applyFont="1" applyFill="1"/>
    <xf numFmtId="178" fontId="47" fillId="8" borderId="0" xfId="0" applyNumberFormat="1" applyFont="1" applyFill="1" applyAlignment="1">
      <alignment horizontal="right"/>
    </xf>
    <xf numFmtId="178" fontId="25" fillId="8" borderId="0" xfId="0" applyNumberFormat="1" applyFont="1" applyFill="1" applyAlignment="1">
      <alignment horizontal="right"/>
    </xf>
    <xf numFmtId="178" fontId="47" fillId="10" borderId="0" xfId="0" applyNumberFormat="1" applyFont="1" applyFill="1" applyAlignment="1">
      <alignment horizontal="right"/>
    </xf>
    <xf numFmtId="178" fontId="25" fillId="10" borderId="0" xfId="0" applyNumberFormat="1" applyFont="1" applyFill="1" applyAlignment="1">
      <alignment horizontal="right"/>
    </xf>
    <xf numFmtId="178" fontId="21" fillId="5" borderId="2" xfId="0" applyNumberFormat="1" applyFont="1" applyFill="1" applyBorder="1" applyAlignment="1">
      <alignment horizontal="right"/>
    </xf>
    <xf numFmtId="178" fontId="21" fillId="5" borderId="0" xfId="0" applyNumberFormat="1" applyFont="1" applyFill="1" applyAlignment="1">
      <alignment horizontal="right"/>
    </xf>
    <xf numFmtId="178" fontId="17" fillId="8" borderId="0" xfId="0" applyNumberFormat="1" applyFont="1" applyFill="1" applyAlignment="1">
      <alignment horizontal="right"/>
    </xf>
    <xf numFmtId="178" fontId="50" fillId="8" borderId="0" xfId="0" applyNumberFormat="1" applyFont="1" applyFill="1" applyAlignment="1">
      <alignment horizontal="right"/>
    </xf>
    <xf numFmtId="178" fontId="21" fillId="5" borderId="3" xfId="0" applyNumberFormat="1" applyFont="1" applyFill="1" applyBorder="1" applyAlignment="1">
      <alignment horizontal="right"/>
    </xf>
    <xf numFmtId="178" fontId="51" fillId="5" borderId="3" xfId="0" applyNumberFormat="1" applyFont="1" applyFill="1" applyBorder="1" applyAlignment="1">
      <alignment horizontal="right"/>
    </xf>
    <xf numFmtId="178" fontId="21" fillId="5" borderId="8" xfId="0" applyNumberFormat="1" applyFont="1" applyFill="1" applyBorder="1" applyAlignment="1">
      <alignment horizontal="right"/>
    </xf>
    <xf numFmtId="178" fontId="17" fillId="10" borderId="0" xfId="0" applyNumberFormat="1" applyFont="1" applyFill="1" applyAlignment="1">
      <alignment horizontal="right"/>
    </xf>
    <xf numFmtId="178" fontId="33" fillId="8" borderId="0" xfId="0" applyNumberFormat="1" applyFont="1" applyFill="1" applyAlignment="1">
      <alignment horizontal="right"/>
    </xf>
    <xf numFmtId="178" fontId="33" fillId="8" borderId="0" xfId="0" applyNumberFormat="1" applyFont="1" applyFill="1" applyAlignment="1">
      <alignment horizontal="left"/>
    </xf>
    <xf numFmtId="178" fontId="33" fillId="10" borderId="0" xfId="0" applyNumberFormat="1" applyFont="1" applyFill="1" applyAlignment="1">
      <alignment horizontal="right"/>
    </xf>
    <xf numFmtId="178" fontId="33" fillId="10" borderId="0" xfId="0" applyNumberFormat="1" applyFont="1" applyFill="1" applyAlignment="1">
      <alignment horizontal="left"/>
    </xf>
    <xf numFmtId="178" fontId="0" fillId="10" borderId="0" xfId="0" applyNumberFormat="1" applyFill="1"/>
    <xf numFmtId="178" fontId="23" fillId="8" borderId="0" xfId="0" applyNumberFormat="1" applyFont="1" applyFill="1"/>
    <xf numFmtId="178" fontId="18" fillId="10" borderId="0" xfId="0" applyNumberFormat="1" applyFont="1" applyFill="1"/>
    <xf numFmtId="178" fontId="17" fillId="10" borderId="0" xfId="0" applyNumberFormat="1" applyFont="1" applyFill="1"/>
    <xf numFmtId="178" fontId="16" fillId="10" borderId="0" xfId="0" applyNumberFormat="1" applyFont="1" applyFill="1"/>
    <xf numFmtId="178" fontId="21" fillId="8" borderId="0" xfId="0" applyNumberFormat="1" applyFont="1" applyFill="1"/>
    <xf numFmtId="178" fontId="17" fillId="8" borderId="0" xfId="0" applyNumberFormat="1" applyFont="1" applyFill="1"/>
    <xf numFmtId="178" fontId="21" fillId="5" borderId="3" xfId="0" applyNumberFormat="1" applyFont="1" applyFill="1" applyBorder="1"/>
    <xf numFmtId="178" fontId="22" fillId="5" borderId="3" xfId="0" applyNumberFormat="1" applyFont="1" applyFill="1" applyBorder="1"/>
    <xf numFmtId="167" fontId="16" fillId="8" borderId="0" xfId="0" applyNumberFormat="1" applyFont="1" applyFill="1"/>
    <xf numFmtId="178" fontId="14" fillId="8" borderId="0" xfId="0" applyNumberFormat="1" applyFont="1" applyFill="1"/>
    <xf numFmtId="178" fontId="21" fillId="10" borderId="0" xfId="0" applyNumberFormat="1" applyFont="1" applyFill="1"/>
    <xf numFmtId="178" fontId="16" fillId="5" borderId="3" xfId="0" applyNumberFormat="1" applyFont="1" applyFill="1" applyBorder="1"/>
    <xf numFmtId="178" fontId="18" fillId="5" borderId="3" xfId="0" applyNumberFormat="1" applyFont="1" applyFill="1" applyBorder="1"/>
    <xf numFmtId="178" fontId="55" fillId="5" borderId="3" xfId="0" applyNumberFormat="1" applyFont="1" applyFill="1" applyBorder="1"/>
    <xf numFmtId="178" fontId="24" fillId="5" borderId="3" xfId="0" applyNumberFormat="1" applyFont="1" applyFill="1" applyBorder="1"/>
    <xf numFmtId="180" fontId="25" fillId="8" borderId="0" xfId="0" applyNumberFormat="1" applyFont="1" applyFill="1"/>
    <xf numFmtId="180" fontId="18" fillId="8" borderId="0" xfId="0" applyNumberFormat="1" applyFont="1" applyFill="1"/>
    <xf numFmtId="180" fontId="16" fillId="8" borderId="0" xfId="0" applyNumberFormat="1" applyFont="1" applyFill="1"/>
    <xf numFmtId="178" fontId="17" fillId="3" borderId="0" xfId="0" applyNumberFormat="1" applyFont="1" applyFill="1"/>
    <xf numFmtId="0" fontId="42" fillId="7" borderId="0" xfId="0" applyFont="1" applyFill="1"/>
    <xf numFmtId="175" fontId="25" fillId="8" borderId="0" xfId="0" applyNumberFormat="1" applyFont="1" applyFill="1"/>
    <xf numFmtId="0" fontId="54" fillId="8" borderId="0" xfId="0" applyFont="1" applyFill="1"/>
    <xf numFmtId="179" fontId="25" fillId="10" borderId="0" xfId="0" applyNumberFormat="1" applyFont="1" applyFill="1"/>
    <xf numFmtId="0" fontId="54" fillId="10" borderId="0" xfId="0" applyFont="1" applyFill="1"/>
    <xf numFmtId="175" fontId="25" fillId="10" borderId="0" xfId="0" applyNumberFormat="1" applyFont="1" applyFill="1"/>
    <xf numFmtId="0" fontId="34" fillId="5" borderId="0" xfId="0" applyFont="1" applyFill="1"/>
    <xf numFmtId="0" fontId="41" fillId="5" borderId="0" xfId="0" applyFont="1" applyFill="1" applyAlignment="1">
      <alignment horizontal="center"/>
    </xf>
    <xf numFmtId="178" fontId="19" fillId="5" borderId="0" xfId="0" applyNumberFormat="1" applyFont="1" applyFill="1"/>
    <xf numFmtId="178" fontId="21" fillId="5" borderId="0" xfId="0" applyNumberFormat="1" applyFont="1" applyFill="1"/>
    <xf numFmtId="0" fontId="54" fillId="5" borderId="0" xfId="0" applyFont="1" applyFill="1"/>
    <xf numFmtId="179" fontId="17" fillId="3" borderId="0" xfId="0" applyNumberFormat="1" applyFont="1" applyFill="1"/>
    <xf numFmtId="0" fontId="54" fillId="3" borderId="0" xfId="0" applyFont="1" applyFill="1"/>
    <xf numFmtId="0" fontId="17" fillId="3" borderId="0" xfId="0" applyFont="1" applyFill="1"/>
    <xf numFmtId="174" fontId="15" fillId="7" borderId="0" xfId="0" applyNumberFormat="1" applyFont="1" applyFill="1"/>
    <xf numFmtId="179" fontId="25" fillId="8" borderId="0" xfId="0" applyNumberFormat="1" applyFont="1" applyFill="1"/>
    <xf numFmtId="178" fontId="25" fillId="3" borderId="0" xfId="0" applyNumberFormat="1" applyFont="1" applyFill="1"/>
    <xf numFmtId="164" fontId="17" fillId="4" borderId="0" xfId="0" applyNumberFormat="1" applyFont="1" applyFill="1"/>
    <xf numFmtId="0" fontId="42" fillId="7" borderId="0" xfId="0" applyFont="1" applyFill="1" applyAlignment="1">
      <alignment horizontal="center"/>
    </xf>
    <xf numFmtId="164" fontId="15" fillId="7" borderId="0" xfId="0" applyNumberFormat="1" applyFont="1" applyFill="1"/>
    <xf numFmtId="166" fontId="17" fillId="4" borderId="0" xfId="0" applyNumberFormat="1" applyFont="1" applyFill="1"/>
    <xf numFmtId="0" fontId="34" fillId="10" borderId="0" xfId="0" applyFont="1" applyFill="1"/>
    <xf numFmtId="175" fontId="19" fillId="8" borderId="0" xfId="0" applyNumberFormat="1" applyFont="1" applyFill="1"/>
    <xf numFmtId="175" fontId="19" fillId="10" borderId="0" xfId="0" applyNumberFormat="1" applyFont="1" applyFill="1"/>
    <xf numFmtId="0" fontId="59" fillId="8" borderId="0" xfId="0" applyFont="1" applyFill="1" applyAlignment="1">
      <alignment horizontal="center"/>
    </xf>
    <xf numFmtId="0" fontId="67" fillId="5" borderId="0" xfId="0" applyFont="1" applyFill="1"/>
    <xf numFmtId="0" fontId="59" fillId="5" borderId="0" xfId="0" applyFont="1" applyFill="1" applyAlignment="1">
      <alignment horizontal="center"/>
    </xf>
    <xf numFmtId="178" fontId="71" fillId="5" borderId="0" xfId="0" applyNumberFormat="1" applyFont="1" applyFill="1"/>
    <xf numFmtId="0" fontId="72" fillId="5" borderId="0" xfId="0" applyFont="1" applyFill="1"/>
    <xf numFmtId="178" fontId="70" fillId="5" borderId="0" xfId="0" applyNumberFormat="1" applyFont="1" applyFill="1"/>
    <xf numFmtId="175" fontId="71" fillId="5" borderId="0" xfId="0" applyNumberFormat="1" applyFont="1" applyFill="1"/>
    <xf numFmtId="0" fontId="61" fillId="5" borderId="0" xfId="0" applyFont="1" applyFill="1"/>
    <xf numFmtId="0" fontId="73" fillId="6" borderId="0" xfId="0" applyFont="1" applyFill="1"/>
    <xf numFmtId="0" fontId="74" fillId="7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75" fillId="7" borderId="0" xfId="0" applyFont="1" applyFill="1"/>
    <xf numFmtId="0" fontId="2" fillId="8" borderId="0" xfId="0" applyFont="1" applyFill="1"/>
    <xf numFmtId="0" fontId="76" fillId="8" borderId="0" xfId="0" applyFont="1" applyFill="1"/>
    <xf numFmtId="0" fontId="2" fillId="10" borderId="0" xfId="0" applyFont="1" applyFill="1"/>
    <xf numFmtId="0" fontId="76" fillId="10" borderId="0" xfId="0" applyFont="1" applyFill="1"/>
    <xf numFmtId="175" fontId="2" fillId="8" borderId="0" xfId="0" applyNumberFormat="1" applyFont="1" applyFill="1"/>
    <xf numFmtId="175" fontId="2" fillId="10" borderId="0" xfId="0" applyNumberFormat="1" applyFont="1" applyFill="1"/>
    <xf numFmtId="0" fontId="77" fillId="5" borderId="2" xfId="0" applyFont="1" applyFill="1" applyBorder="1"/>
    <xf numFmtId="0" fontId="77" fillId="5" borderId="0" xfId="0" applyFont="1" applyFill="1"/>
    <xf numFmtId="178" fontId="77" fillId="5" borderId="0" xfId="0" applyNumberFormat="1" applyFont="1" applyFill="1" applyAlignment="1">
      <alignment horizontal="right"/>
    </xf>
    <xf numFmtId="0" fontId="76" fillId="4" borderId="0" xfId="0" applyFont="1" applyFill="1" applyAlignment="1">
      <alignment horizontal="left"/>
    </xf>
    <xf numFmtId="0" fontId="76" fillId="4" borderId="0" xfId="0" applyFont="1" applyFill="1" applyAlignment="1">
      <alignment horizontal="right"/>
    </xf>
    <xf numFmtId="0" fontId="76" fillId="8" borderId="2" xfId="0" applyFont="1" applyFill="1" applyBorder="1"/>
    <xf numFmtId="0" fontId="76" fillId="4" borderId="0" xfId="0" applyFont="1" applyFill="1"/>
    <xf numFmtId="165" fontId="76" fillId="4" borderId="0" xfId="0" applyNumberFormat="1" applyFont="1" applyFill="1"/>
    <xf numFmtId="0" fontId="75" fillId="7" borderId="0" xfId="0" applyFont="1" applyFill="1" applyAlignment="1">
      <alignment horizontal="center"/>
    </xf>
    <xf numFmtId="0" fontId="82" fillId="8" borderId="0" xfId="0" applyFont="1" applyFill="1" applyAlignment="1">
      <alignment horizontal="center"/>
    </xf>
    <xf numFmtId="0" fontId="82" fillId="10" borderId="0" xfId="0" applyFont="1" applyFill="1" applyAlignment="1">
      <alignment horizontal="center"/>
    </xf>
    <xf numFmtId="0" fontId="83" fillId="5" borderId="2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0" fontId="76" fillId="4" borderId="0" xfId="0" applyFont="1" applyFill="1" applyAlignment="1">
      <alignment horizontal="center"/>
    </xf>
    <xf numFmtId="0" fontId="74" fillId="7" borderId="0" xfId="0" applyFont="1" applyFill="1" applyAlignment="1">
      <alignment horizontal="center"/>
    </xf>
    <xf numFmtId="0" fontId="84" fillId="6" borderId="0" xfId="0" applyFont="1" applyFill="1" applyAlignment="1">
      <alignment horizontal="left"/>
    </xf>
    <xf numFmtId="0" fontId="9" fillId="6" borderId="0" xfId="0" applyFont="1" applyFill="1" applyAlignment="1">
      <alignment horizontal="center" vertical="center"/>
    </xf>
    <xf numFmtId="0" fontId="75" fillId="7" borderId="0" xfId="0" applyFont="1" applyFill="1" applyAlignment="1">
      <alignment horizontal="right"/>
    </xf>
    <xf numFmtId="178" fontId="76" fillId="8" borderId="0" xfId="0" applyNumberFormat="1" applyFont="1" applyFill="1" applyAlignment="1">
      <alignment horizontal="right"/>
    </xf>
    <xf numFmtId="178" fontId="76" fillId="10" borderId="0" xfId="0" applyNumberFormat="1" applyFont="1" applyFill="1" applyAlignment="1">
      <alignment horizontal="right"/>
    </xf>
    <xf numFmtId="178" fontId="81" fillId="10" borderId="0" xfId="0" applyNumberFormat="1" applyFont="1" applyFill="1" applyAlignment="1">
      <alignment horizontal="right"/>
    </xf>
    <xf numFmtId="178" fontId="81" fillId="8" borderId="0" xfId="0" applyNumberFormat="1" applyFont="1" applyFill="1" applyAlignment="1">
      <alignment horizontal="right"/>
    </xf>
    <xf numFmtId="178" fontId="2" fillId="8" borderId="0" xfId="0" applyNumberFormat="1" applyFont="1" applyFill="1" applyAlignment="1">
      <alignment horizontal="right"/>
    </xf>
    <xf numFmtId="0" fontId="84" fillId="6" borderId="0" xfId="0" applyFont="1" applyFill="1" applyAlignment="1">
      <alignment horizontal="center"/>
    </xf>
    <xf numFmtId="0" fontId="84" fillId="6" borderId="0" xfId="0" applyFont="1" applyFill="1" applyAlignment="1">
      <alignment horizontal="right"/>
    </xf>
    <xf numFmtId="0" fontId="74" fillId="7" borderId="0" xfId="0" applyFont="1" applyFill="1" applyAlignment="1">
      <alignment horizontal="right"/>
    </xf>
    <xf numFmtId="178" fontId="2" fillId="10" borderId="0" xfId="0" applyNumberFormat="1" applyFont="1" applyFill="1" applyAlignment="1">
      <alignment horizontal="right"/>
    </xf>
    <xf numFmtId="175" fontId="74" fillId="7" borderId="0" xfId="0" applyNumberFormat="1" applyFont="1" applyFill="1"/>
    <xf numFmtId="175" fontId="74" fillId="7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left"/>
    </xf>
    <xf numFmtId="178" fontId="9" fillId="6" borderId="0" xfId="0" applyNumberFormat="1" applyFont="1" applyFill="1" applyAlignment="1">
      <alignment horizontal="center" vertical="center"/>
    </xf>
    <xf numFmtId="178" fontId="9" fillId="6" borderId="0" xfId="0" applyNumberFormat="1" applyFont="1" applyFill="1" applyAlignment="1">
      <alignment horizontal="center"/>
    </xf>
    <xf numFmtId="178" fontId="75" fillId="7" borderId="0" xfId="0" applyNumberFormat="1" applyFont="1" applyFill="1"/>
    <xf numFmtId="178" fontId="75" fillId="7" borderId="0" xfId="0" applyNumberFormat="1" applyFont="1" applyFill="1" applyAlignment="1">
      <alignment horizontal="right"/>
    </xf>
    <xf numFmtId="175" fontId="81" fillId="10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8" fillId="7" borderId="0" xfId="0" applyFont="1" applyFill="1" applyAlignment="1">
      <alignment horizontal="center"/>
    </xf>
    <xf numFmtId="0" fontId="0" fillId="7" borderId="0" xfId="0" applyFill="1"/>
    <xf numFmtId="178" fontId="69" fillId="8" borderId="0" xfId="0" applyNumberFormat="1" applyFont="1" applyFill="1"/>
    <xf numFmtId="0" fontId="72" fillId="8" borderId="0" xfId="0" applyFont="1" applyFill="1"/>
    <xf numFmtId="0" fontId="59" fillId="10" borderId="0" xfId="0" applyFont="1" applyFill="1" applyAlignment="1">
      <alignment horizontal="center"/>
    </xf>
    <xf numFmtId="175" fontId="69" fillId="10" borderId="0" xfId="0" applyNumberFormat="1" applyFont="1" applyFill="1"/>
    <xf numFmtId="0" fontId="72" fillId="10" borderId="0" xfId="0" applyFont="1" applyFill="1"/>
    <xf numFmtId="178" fontId="69" fillId="10" borderId="0" xfId="0" applyNumberFormat="1" applyFont="1" applyFill="1"/>
    <xf numFmtId="0" fontId="66" fillId="4" borderId="0" xfId="0" applyFont="1" applyFill="1"/>
    <xf numFmtId="0" fontId="59" fillId="4" borderId="0" xfId="0" applyFont="1" applyFill="1" applyAlignment="1">
      <alignment horizontal="center"/>
    </xf>
    <xf numFmtId="179" fontId="69" fillId="8" borderId="0" xfId="0" applyNumberFormat="1" applyFont="1" applyFill="1"/>
    <xf numFmtId="179" fontId="69" fillId="10" borderId="0" xfId="0" applyNumberFormat="1" applyFont="1" applyFill="1"/>
    <xf numFmtId="175" fontId="69" fillId="8" borderId="0" xfId="0" applyNumberFormat="1" applyFont="1" applyFill="1"/>
    <xf numFmtId="0" fontId="74" fillId="7" borderId="0" xfId="0" applyFont="1" applyFill="1" applyAlignment="1">
      <alignment vertical="top"/>
    </xf>
    <xf numFmtId="0" fontId="75" fillId="7" borderId="0" xfId="0" applyFont="1" applyFill="1" applyAlignment="1">
      <alignment horizontal="left" vertical="center"/>
    </xf>
    <xf numFmtId="0" fontId="75" fillId="7" borderId="0" xfId="0" applyFont="1" applyFill="1" applyAlignment="1">
      <alignment horizontal="center" vertical="center"/>
    </xf>
    <xf numFmtId="0" fontId="9" fillId="6" borderId="0" xfId="0" applyFont="1" applyFill="1" applyAlignment="1">
      <alignment wrapText="1"/>
    </xf>
    <xf numFmtId="0" fontId="86" fillId="6" borderId="0" xfId="0" applyFont="1" applyFill="1"/>
    <xf numFmtId="0" fontId="76" fillId="8" borderId="0" xfId="0" applyFont="1" applyFill="1" applyAlignment="1">
      <alignment vertical="top"/>
    </xf>
    <xf numFmtId="165" fontId="76" fillId="8" borderId="0" xfId="0" applyNumberFormat="1" applyFont="1" applyFill="1" applyAlignment="1">
      <alignment vertical="top"/>
    </xf>
    <xf numFmtId="0" fontId="76" fillId="10" borderId="0" xfId="0" applyFont="1" applyFill="1" applyAlignment="1">
      <alignment vertical="top"/>
    </xf>
    <xf numFmtId="165" fontId="76" fillId="10" borderId="0" xfId="0" applyNumberFormat="1" applyFont="1" applyFill="1" applyAlignment="1">
      <alignment vertical="top"/>
    </xf>
    <xf numFmtId="165" fontId="78" fillId="10" borderId="0" xfId="0" applyNumberFormat="1" applyFont="1" applyFill="1" applyAlignment="1">
      <alignment vertical="top"/>
    </xf>
    <xf numFmtId="0" fontId="76" fillId="8" borderId="2" xfId="0" applyFont="1" applyFill="1" applyBorder="1" applyAlignment="1">
      <alignment vertical="top"/>
    </xf>
    <xf numFmtId="165" fontId="76" fillId="8" borderId="2" xfId="0" applyNumberFormat="1" applyFont="1" applyFill="1" applyBorder="1" applyAlignment="1">
      <alignment vertical="top"/>
    </xf>
    <xf numFmtId="165" fontId="76" fillId="8" borderId="0" xfId="0" applyNumberFormat="1" applyFont="1" applyFill="1"/>
    <xf numFmtId="165" fontId="76" fillId="10" borderId="0" xfId="0" applyNumberFormat="1" applyFont="1" applyFill="1"/>
    <xf numFmtId="0" fontId="78" fillId="5" borderId="2" xfId="0" applyFont="1" applyFill="1" applyBorder="1"/>
    <xf numFmtId="178" fontId="81" fillId="8" borderId="0" xfId="0" applyNumberFormat="1" applyFont="1" applyFill="1"/>
    <xf numFmtId="178" fontId="2" fillId="8" borderId="0" xfId="0" applyNumberFormat="1" applyFont="1" applyFill="1"/>
    <xf numFmtId="178" fontId="81" fillId="10" borderId="0" xfId="0" applyNumberFormat="1" applyFont="1" applyFill="1"/>
    <xf numFmtId="178" fontId="2" fillId="10" borderId="0" xfId="0" applyNumberFormat="1" applyFont="1" applyFill="1"/>
    <xf numFmtId="178" fontId="85" fillId="5" borderId="2" xfId="0" applyNumberFormat="1" applyFont="1" applyFill="1" applyBorder="1"/>
    <xf numFmtId="178" fontId="77" fillId="5" borderId="2" xfId="0" applyNumberFormat="1" applyFont="1" applyFill="1" applyBorder="1"/>
    <xf numFmtId="175" fontId="77" fillId="5" borderId="2" xfId="0" applyNumberFormat="1" applyFont="1" applyFill="1" applyBorder="1"/>
    <xf numFmtId="179" fontId="77" fillId="5" borderId="2" xfId="0" applyNumberFormat="1" applyFont="1" applyFill="1" applyBorder="1"/>
    <xf numFmtId="165" fontId="76" fillId="8" borderId="2" xfId="0" applyNumberFormat="1" applyFont="1" applyFill="1" applyBorder="1"/>
    <xf numFmtId="0" fontId="87" fillId="6" borderId="0" xfId="0" applyFont="1" applyFill="1"/>
    <xf numFmtId="0" fontId="80" fillId="8" borderId="0" xfId="0" applyFont="1" applyFill="1"/>
    <xf numFmtId="0" fontId="80" fillId="10" borderId="0" xfId="0" applyFont="1" applyFill="1"/>
    <xf numFmtId="0" fontId="2" fillId="4" borderId="0" xfId="0" applyFont="1" applyFill="1" applyAlignment="1">
      <alignment vertical="top"/>
    </xf>
    <xf numFmtId="0" fontId="88" fillId="4" borderId="0" xfId="0" applyFont="1" applyFill="1"/>
    <xf numFmtId="0" fontId="79" fillId="4" borderId="0" xfId="0" applyFont="1" applyFill="1" applyAlignment="1">
      <alignment wrapText="1"/>
    </xf>
    <xf numFmtId="0" fontId="89" fillId="4" borderId="0" xfId="0" applyFont="1" applyFill="1" applyAlignment="1">
      <alignment wrapText="1"/>
    </xf>
    <xf numFmtId="0" fontId="90" fillId="4" borderId="0" xfId="0" applyFont="1" applyFill="1" applyAlignment="1">
      <alignment wrapText="1"/>
    </xf>
    <xf numFmtId="0" fontId="91" fillId="4" borderId="0" xfId="0" applyFont="1" applyFill="1" applyAlignment="1">
      <alignment wrapText="1"/>
    </xf>
    <xf numFmtId="0" fontId="73" fillId="6" borderId="0" xfId="0" applyFont="1" applyFill="1" applyAlignment="1">
      <alignment horizontal="center"/>
    </xf>
    <xf numFmtId="0" fontId="82" fillId="8" borderId="0" xfId="0" applyFont="1" applyFill="1" applyAlignment="1">
      <alignment horizontal="center" vertical="top"/>
    </xf>
    <xf numFmtId="0" fontId="82" fillId="10" borderId="0" xfId="0" applyFont="1" applyFill="1" applyAlignment="1">
      <alignment horizontal="center" vertical="top"/>
    </xf>
    <xf numFmtId="0" fontId="82" fillId="8" borderId="2" xfId="0" applyFont="1" applyFill="1" applyBorder="1" applyAlignment="1">
      <alignment horizontal="center" vertical="top"/>
    </xf>
    <xf numFmtId="0" fontId="83" fillId="7" borderId="0" xfId="0" applyFont="1" applyFill="1" applyAlignment="1">
      <alignment horizontal="center" vertical="center"/>
    </xf>
    <xf numFmtId="0" fontId="76" fillId="8" borderId="0" xfId="0" applyFont="1" applyFill="1" applyAlignment="1">
      <alignment horizontal="center"/>
    </xf>
    <xf numFmtId="0" fontId="76" fillId="8" borderId="2" xfId="0" applyFont="1" applyFill="1" applyBorder="1" applyAlignment="1">
      <alignment horizontal="center"/>
    </xf>
    <xf numFmtId="0" fontId="88" fillId="4" borderId="0" xfId="0" applyFont="1" applyFill="1" applyAlignment="1">
      <alignment horizontal="center"/>
    </xf>
    <xf numFmtId="0" fontId="77" fillId="5" borderId="2" xfId="0" applyFont="1" applyFill="1" applyBorder="1" applyAlignment="1">
      <alignment horizontal="center"/>
    </xf>
    <xf numFmtId="0" fontId="83" fillId="7" borderId="0" xfId="0" applyFont="1" applyFill="1" applyAlignment="1">
      <alignment horizontal="center"/>
    </xf>
    <xf numFmtId="0" fontId="83" fillId="6" borderId="0" xfId="0" applyFont="1" applyFill="1" applyAlignment="1">
      <alignment horizontal="center"/>
    </xf>
    <xf numFmtId="0" fontId="79" fillId="4" borderId="0" xfId="0" applyFont="1" applyFill="1" applyAlignment="1">
      <alignment horizontal="center" wrapText="1"/>
    </xf>
    <xf numFmtId="0" fontId="89" fillId="4" borderId="0" xfId="0" applyFont="1" applyFill="1" applyAlignment="1">
      <alignment horizontal="center" wrapText="1"/>
    </xf>
    <xf numFmtId="0" fontId="90" fillId="4" borderId="0" xfId="0" applyFont="1" applyFill="1" applyAlignment="1">
      <alignment horizontal="center" wrapText="1"/>
    </xf>
    <xf numFmtId="0" fontId="91" fillId="4" borderId="0" xfId="0" applyFont="1" applyFill="1" applyAlignment="1">
      <alignment horizontal="center" wrapText="1"/>
    </xf>
    <xf numFmtId="0" fontId="9" fillId="6" borderId="0" xfId="0" applyFont="1" applyFill="1" applyAlignment="1">
      <alignment horizontal="right"/>
    </xf>
    <xf numFmtId="179" fontId="47" fillId="10" borderId="0" xfId="0" applyNumberFormat="1" applyFont="1" applyFill="1"/>
    <xf numFmtId="178" fontId="47" fillId="8" borderId="0" xfId="0" applyNumberFormat="1" applyFont="1" applyFill="1"/>
    <xf numFmtId="179" fontId="47" fillId="8" borderId="0" xfId="0" applyNumberFormat="1" applyFont="1" applyFill="1"/>
    <xf numFmtId="179" fontId="47" fillId="3" borderId="0" xfId="0" applyNumberFormat="1" applyFont="1" applyFill="1"/>
    <xf numFmtId="178" fontId="63" fillId="5" borderId="0" xfId="0" applyNumberFormat="1" applyFont="1" applyFill="1"/>
    <xf numFmtId="175" fontId="63" fillId="8" borderId="0" xfId="0" applyNumberFormat="1" applyFont="1" applyFill="1"/>
    <xf numFmtId="175" fontId="63" fillId="10" borderId="0" xfId="0" applyNumberFormat="1" applyFont="1" applyFill="1"/>
    <xf numFmtId="175" fontId="92" fillId="10" borderId="0" xfId="0" applyNumberFormat="1" applyFont="1" applyFill="1"/>
    <xf numFmtId="178" fontId="92" fillId="10" borderId="0" xfId="0" applyNumberFormat="1" applyFont="1" applyFill="1"/>
    <xf numFmtId="178" fontId="92" fillId="8" borderId="0" xfId="0" applyNumberFormat="1" applyFont="1" applyFill="1"/>
    <xf numFmtId="175" fontId="93" fillId="5" borderId="0" xfId="0" applyNumberFormat="1" applyFont="1" applyFill="1"/>
    <xf numFmtId="179" fontId="92" fillId="8" borderId="0" xfId="0" applyNumberFormat="1" applyFont="1" applyFill="1"/>
    <xf numFmtId="179" fontId="92" fillId="10" borderId="0" xfId="0" applyNumberFormat="1" applyFont="1" applyFill="1"/>
    <xf numFmtId="175" fontId="92" fillId="8" borderId="0" xfId="0" applyNumberFormat="1" applyFont="1" applyFill="1"/>
    <xf numFmtId="166" fontId="92" fillId="8" borderId="0" xfId="3" applyNumberFormat="1" applyFont="1" applyFill="1" applyBorder="1"/>
    <xf numFmtId="178" fontId="94" fillId="8" borderId="0" xfId="0" applyNumberFormat="1" applyFont="1" applyFill="1" applyAlignment="1">
      <alignment horizontal="right"/>
    </xf>
    <xf numFmtId="178" fontId="94" fillId="10" borderId="0" xfId="0" applyNumberFormat="1" applyFont="1" applyFill="1" applyAlignment="1">
      <alignment horizontal="right"/>
    </xf>
    <xf numFmtId="165" fontId="94" fillId="8" borderId="0" xfId="0" applyNumberFormat="1" applyFont="1" applyFill="1" applyAlignment="1">
      <alignment horizontal="center" vertical="top"/>
    </xf>
    <xf numFmtId="178" fontId="94" fillId="8" borderId="0" xfId="0" applyNumberFormat="1" applyFont="1" applyFill="1" applyAlignment="1">
      <alignment horizontal="center" vertical="top"/>
    </xf>
    <xf numFmtId="165" fontId="94" fillId="10" borderId="0" xfId="0" applyNumberFormat="1" applyFont="1" applyFill="1" applyAlignment="1">
      <alignment horizontal="center" vertical="top"/>
    </xf>
    <xf numFmtId="178" fontId="94" fillId="10" borderId="0" xfId="0" applyNumberFormat="1" applyFont="1" applyFill="1" applyAlignment="1">
      <alignment horizontal="center" vertical="top"/>
    </xf>
    <xf numFmtId="165" fontId="94" fillId="8" borderId="2" xfId="0" applyNumberFormat="1" applyFont="1" applyFill="1" applyBorder="1" applyAlignment="1">
      <alignment horizontal="center" vertical="top"/>
    </xf>
    <xf numFmtId="178" fontId="94" fillId="8" borderId="2" xfId="0" applyNumberFormat="1" applyFont="1" applyFill="1" applyBorder="1" applyAlignment="1">
      <alignment horizontal="center" vertical="top"/>
    </xf>
    <xf numFmtId="178" fontId="94" fillId="8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vertical="top"/>
    </xf>
    <xf numFmtId="165" fontId="94" fillId="10" borderId="0" xfId="0" applyNumberFormat="1" applyFont="1" applyFill="1" applyAlignment="1">
      <alignment horizontal="right" vertical="top"/>
    </xf>
    <xf numFmtId="0" fontId="94" fillId="10" borderId="0" xfId="0" applyFont="1" applyFill="1" applyAlignment="1">
      <alignment vertical="top"/>
    </xf>
    <xf numFmtId="165" fontId="94" fillId="8" borderId="0" xfId="0" applyNumberFormat="1" applyFont="1" applyFill="1" applyAlignment="1">
      <alignment horizontal="right" vertical="top"/>
    </xf>
    <xf numFmtId="0" fontId="94" fillId="4" borderId="0" xfId="0" applyFont="1" applyFill="1" applyAlignment="1">
      <alignment vertical="top"/>
    </xf>
    <xf numFmtId="178" fontId="94" fillId="8" borderId="0" xfId="0" applyNumberFormat="1" applyFont="1" applyFill="1"/>
    <xf numFmtId="179" fontId="94" fillId="8" borderId="0" xfId="0" applyNumberFormat="1" applyFont="1" applyFill="1"/>
    <xf numFmtId="178" fontId="94" fillId="10" borderId="0" xfId="0" applyNumberFormat="1" applyFont="1" applyFill="1"/>
    <xf numFmtId="179" fontId="94" fillId="10" borderId="0" xfId="0" applyNumberFormat="1" applyFont="1" applyFill="1"/>
    <xf numFmtId="168" fontId="17" fillId="10" borderId="0" xfId="0" applyNumberFormat="1" applyFont="1" applyFill="1"/>
    <xf numFmtId="170" fontId="17" fillId="5" borderId="3" xfId="0" applyNumberFormat="1" applyFont="1" applyFill="1" applyBorder="1" applyAlignment="1">
      <alignment horizontal="right"/>
    </xf>
    <xf numFmtId="170" fontId="17" fillId="11" borderId="11" xfId="0" applyNumberFormat="1" applyFont="1" applyFill="1" applyBorder="1" applyAlignment="1">
      <alignment horizontal="right"/>
    </xf>
    <xf numFmtId="170" fontId="21" fillId="11" borderId="13" xfId="0" applyNumberFormat="1" applyFont="1" applyFill="1" applyBorder="1" applyAlignment="1">
      <alignment horizontal="right"/>
    </xf>
    <xf numFmtId="178" fontId="95" fillId="10" borderId="0" xfId="0" applyNumberFormat="1" applyFont="1" applyFill="1"/>
    <xf numFmtId="166" fontId="95" fillId="10" borderId="0" xfId="3" applyNumberFormat="1" applyFont="1" applyFill="1"/>
    <xf numFmtId="0" fontId="59" fillId="12" borderId="0" xfId="0" applyFont="1" applyFill="1" applyAlignment="1">
      <alignment horizontal="center"/>
    </xf>
    <xf numFmtId="0" fontId="72" fillId="12" borderId="0" xfId="0" applyFont="1" applyFill="1"/>
    <xf numFmtId="0" fontId="61" fillId="12" borderId="0" xfId="0" applyFont="1" applyFill="1"/>
    <xf numFmtId="178" fontId="96" fillId="12" borderId="0" xfId="0" applyNumberFormat="1" applyFont="1" applyFill="1"/>
    <xf numFmtId="178" fontId="97" fillId="12" borderId="0" xfId="0" applyNumberFormat="1" applyFont="1" applyFill="1"/>
    <xf numFmtId="0" fontId="98" fillId="7" borderId="0" xfId="0" applyFont="1" applyFill="1"/>
    <xf numFmtId="178" fontId="99" fillId="8" borderId="0" xfId="0" applyNumberFormat="1" applyFont="1" applyFill="1"/>
    <xf numFmtId="178" fontId="95" fillId="8" borderId="0" xfId="0" applyNumberFormat="1" applyFont="1" applyFill="1"/>
    <xf numFmtId="178" fontId="99" fillId="10" borderId="0" xfId="0" applyNumberFormat="1" applyFont="1" applyFill="1"/>
    <xf numFmtId="166" fontId="94" fillId="8" borderId="0" xfId="0" applyNumberFormat="1" applyFont="1" applyFill="1"/>
    <xf numFmtId="166" fontId="94" fillId="10" borderId="0" xfId="0" applyNumberFormat="1" applyFont="1" applyFill="1" applyAlignment="1">
      <alignment horizontal="right" vertical="top"/>
    </xf>
    <xf numFmtId="166" fontId="94" fillId="8" borderId="0" xfId="0" applyNumberFormat="1" applyFont="1" applyFill="1" applyAlignment="1">
      <alignment horizontal="right" vertical="top"/>
    </xf>
    <xf numFmtId="166" fontId="94" fillId="8" borderId="2" xfId="0" applyNumberFormat="1" applyFont="1" applyFill="1" applyBorder="1" applyAlignment="1">
      <alignment horizontal="right" vertical="top"/>
    </xf>
    <xf numFmtId="9" fontId="2" fillId="10" borderId="0" xfId="0" applyNumberFormat="1" applyFont="1" applyFill="1" applyAlignment="1">
      <alignment horizontal="right" vertical="top"/>
    </xf>
    <xf numFmtId="0" fontId="73" fillId="6" borderId="0" xfId="0" applyFont="1" applyFill="1" applyAlignment="1">
      <alignment horizontal="center" vertical="center"/>
    </xf>
    <xf numFmtId="0" fontId="74" fillId="7" borderId="0" xfId="0" applyFont="1" applyFill="1" applyAlignment="1">
      <alignment horizontal="center" vertical="center"/>
    </xf>
    <xf numFmtId="0" fontId="76" fillId="8" borderId="0" xfId="0" applyFont="1" applyFill="1" applyAlignment="1">
      <alignment horizontal="center" vertical="center"/>
    </xf>
    <xf numFmtId="0" fontId="76" fillId="10" borderId="0" xfId="0" applyFont="1" applyFill="1" applyAlignment="1">
      <alignment horizontal="center" vertical="center"/>
    </xf>
    <xf numFmtId="0" fontId="82" fillId="8" borderId="0" xfId="0" applyFont="1" applyFill="1" applyAlignment="1">
      <alignment horizontal="center" vertical="center"/>
    </xf>
    <xf numFmtId="0" fontId="82" fillId="10" borderId="0" xfId="0" applyFont="1" applyFill="1" applyAlignment="1">
      <alignment horizontal="center" vertical="center"/>
    </xf>
    <xf numFmtId="0" fontId="82" fillId="8" borderId="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82" fillId="6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9" fontId="63" fillId="12" borderId="0" xfId="0" applyNumberFormat="1" applyFont="1" applyFill="1"/>
    <xf numFmtId="167" fontId="17" fillId="10" borderId="0" xfId="0" applyNumberFormat="1" applyFont="1" applyFill="1"/>
    <xf numFmtId="0" fontId="100" fillId="8" borderId="0" xfId="0" applyFont="1" applyFill="1" applyAlignment="1">
      <alignment vertical="center"/>
    </xf>
    <xf numFmtId="0" fontId="101" fillId="8" borderId="0" xfId="0" applyFont="1" applyFill="1" applyAlignment="1">
      <alignment horizontal="left" vertical="center"/>
    </xf>
    <xf numFmtId="0" fontId="38" fillId="8" borderId="5" xfId="0" applyFont="1" applyFill="1" applyBorder="1" applyAlignment="1">
      <alignment vertical="center"/>
    </xf>
    <xf numFmtId="0" fontId="37" fillId="8" borderId="5" xfId="0" applyFont="1" applyFill="1" applyBorder="1" applyAlignment="1">
      <alignment vertical="center"/>
    </xf>
    <xf numFmtId="0" fontId="38" fillId="10" borderId="0" xfId="0" applyFont="1" applyFill="1" applyAlignment="1">
      <alignment vertical="center"/>
    </xf>
    <xf numFmtId="0" fontId="37" fillId="10" borderId="0" xfId="0" applyFont="1" applyFill="1" applyAlignment="1">
      <alignment vertical="center"/>
    </xf>
    <xf numFmtId="0" fontId="38" fillId="8" borderId="6" xfId="0" applyFont="1" applyFill="1" applyBorder="1" applyAlignment="1">
      <alignment vertical="center"/>
    </xf>
    <xf numFmtId="0" fontId="37" fillId="8" borderId="6" xfId="0" applyFont="1" applyFill="1" applyBorder="1" applyAlignment="1">
      <alignment vertical="center"/>
    </xf>
    <xf numFmtId="0" fontId="38" fillId="10" borderId="4" xfId="0" applyFont="1" applyFill="1" applyBorder="1" applyAlignment="1">
      <alignment vertical="center"/>
    </xf>
    <xf numFmtId="0" fontId="37" fillId="10" borderId="4" xfId="0" applyFont="1" applyFill="1" applyBorder="1" applyAlignment="1">
      <alignment vertical="center"/>
    </xf>
    <xf numFmtId="0" fontId="14" fillId="9" borderId="0" xfId="0" applyFont="1" applyFill="1" applyAlignment="1">
      <alignment vertical="center"/>
    </xf>
    <xf numFmtId="0" fontId="27" fillId="9" borderId="0" xfId="0" applyFont="1" applyFill="1" applyAlignment="1">
      <alignment vertical="center"/>
    </xf>
    <xf numFmtId="0" fontId="38" fillId="8" borderId="0" xfId="0" applyFont="1" applyFill="1" applyAlignment="1">
      <alignment vertical="center"/>
    </xf>
    <xf numFmtId="0" fontId="37" fillId="8" borderId="0" xfId="0" applyFont="1" applyFill="1" applyAlignment="1">
      <alignment vertical="center"/>
    </xf>
    <xf numFmtId="0" fontId="38" fillId="10" borderId="7" xfId="0" applyFont="1" applyFill="1" applyBorder="1" applyAlignment="1">
      <alignment vertical="center"/>
    </xf>
    <xf numFmtId="0" fontId="37" fillId="10" borderId="7" xfId="0" applyFont="1" applyFill="1" applyBorder="1" applyAlignment="1">
      <alignment vertical="center"/>
    </xf>
    <xf numFmtId="0" fontId="67" fillId="0" borderId="0" xfId="0" applyFont="1"/>
    <xf numFmtId="0" fontId="59" fillId="0" borderId="0" xfId="0" applyFont="1" applyAlignment="1">
      <alignment horizontal="center"/>
    </xf>
    <xf numFmtId="175" fontId="71" fillId="0" borderId="0" xfId="0" applyNumberFormat="1" applyFont="1"/>
    <xf numFmtId="175" fontId="93" fillId="0" borderId="0" xfId="0" applyNumberFormat="1" applyFont="1"/>
    <xf numFmtId="0" fontId="72" fillId="0" borderId="0" xfId="0" applyFont="1"/>
    <xf numFmtId="0" fontId="61" fillId="0" borderId="0" xfId="0" applyFont="1"/>
    <xf numFmtId="43" fontId="21" fillId="5" borderId="9" xfId="4" applyFont="1" applyFill="1" applyBorder="1"/>
    <xf numFmtId="43" fontId="25" fillId="8" borderId="0" xfId="4" applyFont="1" applyFill="1"/>
    <xf numFmtId="0" fontId="51" fillId="13" borderId="8" xfId="0" applyFont="1" applyFill="1" applyBorder="1"/>
    <xf numFmtId="168" fontId="63" fillId="13" borderId="14" xfId="0" applyNumberFormat="1" applyFont="1" applyFill="1" applyBorder="1"/>
    <xf numFmtId="0" fontId="103" fillId="7" borderId="0" xfId="0" applyFont="1" applyFill="1" applyAlignment="1">
      <alignment horizontal="left" vertical="center" indent="1"/>
    </xf>
    <xf numFmtId="0" fontId="64" fillId="6" borderId="0" xfId="0" applyFont="1" applyFill="1"/>
    <xf numFmtId="0" fontId="13" fillId="7" borderId="0" xfId="0" applyFont="1" applyFill="1"/>
    <xf numFmtId="0" fontId="73" fillId="6" borderId="0" xfId="0" applyFont="1" applyFill="1"/>
    <xf numFmtId="0" fontId="74" fillId="7" borderId="0" xfId="0" applyFont="1" applyFill="1"/>
  </cellXfs>
  <cellStyles count="5">
    <cellStyle name="Comma" xfId="4" builtinId="3"/>
    <cellStyle name="fa_column_header_top_left" xfId="1" xr:uid="{00000000-0005-0000-0000-000006000000}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9C0006"/>
      <rgbColor rgb="FF008000"/>
      <rgbColor rgb="FF00008B"/>
      <rgbColor rgb="FF9C5700"/>
      <rgbColor rgb="FF800080"/>
      <rgbColor rgb="FF1F4E79"/>
      <rgbColor rgb="FFD6E4F0"/>
      <rgbColor rgb="FF4F81BD"/>
      <rgbColor rgb="FF558ED5"/>
      <rgbColor rgb="FF595959"/>
      <rgbColor rgb="FFFFF0CC"/>
      <rgbColor rgb="FFEBF3FF"/>
      <rgbColor rgb="FF660066"/>
      <rgbColor rgb="FFFF8080"/>
      <rgbColor rgb="FF2E6DA4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E2EFDA"/>
      <rgbColor rgb="FFC6EFCE"/>
      <rgbColor rgb="FFFFEB9C"/>
      <rgbColor rgb="FFD6E4F5"/>
      <rgbColor rgb="FFFFC7CE"/>
      <rgbColor rgb="FFDCE6F2"/>
      <rgbColor rgb="FFFFCCCC"/>
      <rgbColor rgb="FF2E75B6"/>
      <rgbColor rgb="FF33CCCC"/>
      <rgbColor rgb="FF99CC00"/>
      <rgbColor rgb="FFFCE4D6"/>
      <rgbColor rgb="FFFF9900"/>
      <rgbColor rgb="FFFF6600"/>
      <rgbColor rgb="FF666666"/>
      <rgbColor rgb="FF969696"/>
      <rgbColor rgb="FF1F3864"/>
      <rgbColor rgb="FF339966"/>
      <rgbColor rgb="FF006600"/>
      <rgbColor rgb="FF375623"/>
      <rgbColor rgb="FF7F3F00"/>
      <rgbColor rgb="FF993366"/>
      <rgbColor rgb="FF1F497D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E4F5"/>
      <color rgb="FFD6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013F870-55D6-F948-AF8A-B610EE6D0364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E6FE-AE42-D344-B070-6431D90C2607}">
  <sheetPr>
    <tabColor rgb="FF2E4057"/>
  </sheetPr>
  <dimension ref="A1:I58"/>
  <sheetViews>
    <sheetView showGridLines="0" tabSelected="1" workbookViewId="0">
      <selection activeCell="D40" sqref="D40"/>
    </sheetView>
  </sheetViews>
  <sheetFormatPr baseColWidth="10" defaultRowHeight="15" x14ac:dyDescent="0.2"/>
  <cols>
    <col min="1" max="1" width="1.33203125" customWidth="1"/>
    <col min="2" max="2" width="40" customWidth="1"/>
    <col min="3" max="8" width="10.83203125" customWidth="1"/>
  </cols>
  <sheetData>
    <row r="1" spans="1:9" ht="34" x14ac:dyDescent="0.2">
      <c r="A1" s="52"/>
      <c r="B1" s="46" t="s">
        <v>303</v>
      </c>
      <c r="C1" s="44"/>
      <c r="D1" s="44"/>
      <c r="E1" s="44"/>
      <c r="F1" s="45"/>
      <c r="G1" s="45"/>
      <c r="H1" s="45"/>
      <c r="I1" s="45"/>
    </row>
    <row r="2" spans="1:9" x14ac:dyDescent="0.2">
      <c r="A2" s="52"/>
      <c r="B2" s="47" t="s">
        <v>590</v>
      </c>
      <c r="C2" s="44"/>
      <c r="D2" s="44"/>
      <c r="E2" s="44"/>
      <c r="F2" s="45"/>
      <c r="G2" s="45"/>
      <c r="H2" s="45"/>
      <c r="I2" s="45"/>
    </row>
    <row r="3" spans="1:9" x14ac:dyDescent="0.2">
      <c r="A3" s="52"/>
      <c r="B3" s="510" t="s">
        <v>595</v>
      </c>
      <c r="C3" s="44"/>
      <c r="D3" s="44"/>
      <c r="E3" s="44"/>
      <c r="F3" s="45"/>
      <c r="G3" s="45"/>
      <c r="H3" s="45"/>
      <c r="I3" s="45"/>
    </row>
    <row r="4" spans="1:9" x14ac:dyDescent="0.2">
      <c r="A4" s="52"/>
      <c r="B4" s="510"/>
      <c r="C4" s="44"/>
      <c r="D4" s="44"/>
      <c r="E4" s="44"/>
      <c r="F4" s="45"/>
      <c r="G4" s="45"/>
      <c r="H4" s="45"/>
      <c r="I4" s="45"/>
    </row>
    <row r="5" spans="1:9" x14ac:dyDescent="0.2">
      <c r="A5" s="52"/>
      <c r="B5" s="511" t="s">
        <v>330</v>
      </c>
      <c r="C5" s="44"/>
      <c r="D5" s="44"/>
      <c r="E5" s="44"/>
      <c r="F5" s="45"/>
      <c r="G5" s="45"/>
      <c r="H5" s="45"/>
      <c r="I5" s="45"/>
    </row>
    <row r="6" spans="1:9" x14ac:dyDescent="0.2">
      <c r="A6" s="52"/>
      <c r="B6" s="41" t="str">
        <f>"Coinbase is the dominant US crypto exchange, generating "&amp;TEXT('Income Statement'!I13/1000,"0.0")&amp;"B in FY2025A revenue across trading,"</f>
        <v>Coinbase is the dominant US crypto exchange, generating 7.2B in FY2025A revenue across trading,</v>
      </c>
      <c r="C6" s="44"/>
      <c r="D6" s="44"/>
      <c r="E6" s="44"/>
      <c r="F6" s="45"/>
      <c r="G6" s="45"/>
      <c r="H6" s="45"/>
      <c r="I6" s="45"/>
    </row>
    <row r="7" spans="1:9" x14ac:dyDescent="0.2">
      <c r="A7" s="52"/>
      <c r="B7" s="41" t="s">
        <v>304</v>
      </c>
      <c r="C7" s="44"/>
      <c r="D7" s="44"/>
      <c r="E7" s="44"/>
      <c r="F7" s="45"/>
      <c r="G7" s="45"/>
      <c r="H7" s="45"/>
      <c r="I7" s="45"/>
    </row>
    <row r="8" spans="1:9" x14ac:dyDescent="0.2">
      <c r="A8" s="52"/>
      <c r="B8" s="41"/>
      <c r="C8" s="44"/>
      <c r="D8" s="44"/>
      <c r="E8" s="44"/>
      <c r="F8" s="45"/>
      <c r="G8" s="45"/>
      <c r="H8" s="45"/>
      <c r="I8" s="45"/>
    </row>
    <row r="9" spans="1:9" x14ac:dyDescent="0.2">
      <c r="A9" s="52"/>
      <c r="B9" s="41" t="s">
        <v>305</v>
      </c>
      <c r="C9" s="44"/>
      <c r="D9" s="44"/>
      <c r="E9" s="44"/>
      <c r="F9" s="45"/>
      <c r="G9" s="45"/>
      <c r="H9" s="45"/>
      <c r="I9" s="45"/>
    </row>
    <row r="10" spans="1:9" x14ac:dyDescent="0.2">
      <c r="A10" s="52"/>
      <c r="B10" s="41" t="s">
        <v>368</v>
      </c>
      <c r="C10" s="44"/>
      <c r="D10" s="44"/>
      <c r="E10" s="44"/>
      <c r="F10" s="45"/>
      <c r="G10" s="45"/>
      <c r="H10" s="45"/>
      <c r="I10" s="45"/>
    </row>
    <row r="11" spans="1:9" x14ac:dyDescent="0.2">
      <c r="A11" s="52"/>
      <c r="B11" s="41"/>
      <c r="C11" s="44"/>
      <c r="D11" s="44"/>
      <c r="E11" s="44"/>
      <c r="F11" s="45"/>
      <c r="G11" s="45"/>
      <c r="H11" s="45"/>
      <c r="I11" s="45"/>
    </row>
    <row r="12" spans="1:9" x14ac:dyDescent="0.2">
      <c r="A12" s="52"/>
      <c r="B12" s="41" t="s">
        <v>306</v>
      </c>
      <c r="C12" s="44"/>
      <c r="D12" s="44"/>
      <c r="E12" s="44"/>
      <c r="F12" s="45"/>
      <c r="G12" s="45"/>
      <c r="H12" s="45"/>
      <c r="I12" s="45"/>
    </row>
    <row r="13" spans="1:9" x14ac:dyDescent="0.2">
      <c r="A13" s="52"/>
      <c r="B13" s="41" t="str">
        <f>"ETH staking yield compression, and elevated beta."</f>
        <v>ETH staking yield compression, and elevated beta.</v>
      </c>
      <c r="C13" s="44"/>
      <c r="D13" s="44"/>
      <c r="E13" s="44"/>
      <c r="F13" s="45"/>
      <c r="G13" s="45"/>
      <c r="H13" s="45"/>
      <c r="I13" s="45"/>
    </row>
    <row r="14" spans="1:9" x14ac:dyDescent="0.2">
      <c r="A14" s="52"/>
      <c r="B14" s="45"/>
      <c r="C14" s="44"/>
      <c r="D14" s="44"/>
      <c r="E14" s="44"/>
      <c r="F14" s="45"/>
      <c r="G14" s="45"/>
      <c r="H14" s="45"/>
      <c r="I14" s="45"/>
    </row>
    <row r="15" spans="1:9" x14ac:dyDescent="0.2">
      <c r="A15" s="52"/>
      <c r="B15" s="48" t="s">
        <v>331</v>
      </c>
      <c r="C15" s="48"/>
      <c r="D15" s="48"/>
      <c r="E15" s="48"/>
      <c r="F15" s="48"/>
      <c r="G15" s="48"/>
      <c r="H15" s="48"/>
      <c r="I15" s="48"/>
    </row>
    <row r="16" spans="1:9" x14ac:dyDescent="0.2">
      <c r="A16" s="52"/>
      <c r="B16" s="53" t="s">
        <v>227</v>
      </c>
      <c r="C16" s="30" t="s">
        <v>0</v>
      </c>
      <c r="D16" s="30" t="s">
        <v>1</v>
      </c>
      <c r="E16" s="30" t="s">
        <v>2</v>
      </c>
      <c r="F16" s="31" t="s">
        <v>566</v>
      </c>
      <c r="G16" s="31"/>
      <c r="H16" s="31"/>
      <c r="I16" s="31"/>
    </row>
    <row r="17" spans="1:9" x14ac:dyDescent="0.2">
      <c r="A17" s="52"/>
      <c r="B17" s="41" t="s">
        <v>369</v>
      </c>
      <c r="C17" s="36">
        <f>'Income Statement'!I13</f>
        <v>7181.324999999998</v>
      </c>
      <c r="D17" s="36">
        <f>'Income Statement'!J13</f>
        <v>8557.8610000000008</v>
      </c>
      <c r="E17" s="36">
        <f>'Income Statement'!K13</f>
        <v>10245</v>
      </c>
      <c r="F17" s="37"/>
      <c r="G17" s="37"/>
      <c r="H17" s="37"/>
      <c r="I17" s="37"/>
    </row>
    <row r="18" spans="1:9" x14ac:dyDescent="0.2">
      <c r="A18" s="52"/>
      <c r="B18" s="65" t="s">
        <v>370</v>
      </c>
      <c r="C18" s="66">
        <f>'Income Statement'!I41</f>
        <v>1260.326999999998</v>
      </c>
      <c r="D18" s="66">
        <f>'Income Statement'!J41</f>
        <v>1332.85708256</v>
      </c>
      <c r="E18" s="66">
        <f>'Income Statement'!K41</f>
        <v>2088.7520999999997</v>
      </c>
      <c r="F18" s="67"/>
      <c r="G18" s="67"/>
      <c r="H18" s="67"/>
      <c r="I18" s="67"/>
    </row>
    <row r="19" spans="1:9" x14ac:dyDescent="0.2">
      <c r="A19" s="52"/>
      <c r="B19" s="68" t="s">
        <v>371</v>
      </c>
      <c r="C19" s="69">
        <f>'Income Statement'!I48</f>
        <v>2530.4329999999982</v>
      </c>
      <c r="D19" s="69">
        <f>'Income Statement'!J48</f>
        <v>3462.6798520000002</v>
      </c>
      <c r="E19" s="69">
        <f>'Income Statement'!K48</f>
        <v>4422.4214709999997</v>
      </c>
      <c r="F19" s="70" t="s">
        <v>307</v>
      </c>
      <c r="G19" s="70"/>
      <c r="H19" s="70"/>
      <c r="I19" s="70"/>
    </row>
    <row r="20" spans="1:9" ht="16" thickBot="1" x14ac:dyDescent="0.25">
      <c r="A20" s="52"/>
      <c r="B20" s="54" t="s">
        <v>308</v>
      </c>
      <c r="C20" s="55">
        <f>'Income Statement'!I49</f>
        <v>0.35236296922921589</v>
      </c>
      <c r="D20" s="55">
        <f>'Income Statement'!J49</f>
        <v>0.40461978197589327</v>
      </c>
      <c r="E20" s="55">
        <f>'Income Statement'!K49</f>
        <v>0.43166632220595408</v>
      </c>
      <c r="F20" s="56" t="s">
        <v>344</v>
      </c>
      <c r="G20" s="56"/>
      <c r="H20" s="56"/>
      <c r="I20" s="56"/>
    </row>
    <row r="21" spans="1:9" x14ac:dyDescent="0.2">
      <c r="A21" s="52"/>
      <c r="B21" s="41"/>
      <c r="C21" s="38"/>
      <c r="D21" s="38"/>
      <c r="E21" s="38"/>
      <c r="F21" s="37"/>
      <c r="G21" s="37"/>
      <c r="H21" s="37"/>
      <c r="I21" s="37"/>
    </row>
    <row r="22" spans="1:9" x14ac:dyDescent="0.2">
      <c r="A22" s="52"/>
      <c r="B22" s="536" t="s">
        <v>309</v>
      </c>
      <c r="C22" s="86"/>
      <c r="D22" s="86"/>
      <c r="E22" s="86"/>
      <c r="F22" s="85"/>
      <c r="G22" s="85"/>
      <c r="H22" s="85"/>
      <c r="I22" s="85"/>
    </row>
    <row r="23" spans="1:9" x14ac:dyDescent="0.2">
      <c r="A23" s="52"/>
      <c r="B23" s="41" t="s">
        <v>228</v>
      </c>
      <c r="C23" s="224">
        <v>205</v>
      </c>
      <c r="D23" s="87"/>
      <c r="E23" s="87"/>
      <c r="F23" s="37" t="s">
        <v>591</v>
      </c>
      <c r="G23" s="37"/>
      <c r="H23" s="37"/>
      <c r="I23" s="37"/>
    </row>
    <row r="24" spans="1:9" x14ac:dyDescent="0.2">
      <c r="A24" s="52"/>
      <c r="B24" s="62" t="s">
        <v>372</v>
      </c>
      <c r="C24" s="63">
        <f>'DCF Model'!C16</f>
        <v>58835</v>
      </c>
      <c r="D24" s="71"/>
      <c r="E24" s="71"/>
      <c r="F24" s="64"/>
      <c r="G24" s="64"/>
      <c r="H24" s="64"/>
      <c r="I24" s="64"/>
    </row>
    <row r="25" spans="1:9" ht="16" thickBot="1" x14ac:dyDescent="0.25">
      <c r="A25" s="52"/>
      <c r="B25" s="57" t="s">
        <v>373</v>
      </c>
      <c r="C25" s="58">
        <f>'DCF Model'!C16+'Balance Sheet'!I45-'Balance Sheet'!I6</f>
        <v>55382</v>
      </c>
      <c r="D25" s="59"/>
      <c r="E25" s="59"/>
      <c r="F25" s="60"/>
      <c r="G25" s="60"/>
      <c r="H25" s="60"/>
      <c r="I25" s="60"/>
    </row>
    <row r="26" spans="1:9" x14ac:dyDescent="0.2">
      <c r="A26" s="52"/>
      <c r="B26" s="41"/>
      <c r="C26" s="38"/>
      <c r="D26" s="38"/>
      <c r="E26" s="38"/>
      <c r="F26" s="37"/>
      <c r="G26" s="37"/>
      <c r="H26" s="37"/>
      <c r="I26" s="37"/>
    </row>
    <row r="27" spans="1:9" x14ac:dyDescent="0.2">
      <c r="A27" s="52"/>
      <c r="B27" s="536" t="s">
        <v>229</v>
      </c>
      <c r="C27" s="86"/>
      <c r="D27" s="86"/>
      <c r="E27" s="86"/>
      <c r="F27" s="85"/>
      <c r="G27" s="85"/>
      <c r="H27" s="85"/>
      <c r="I27" s="85"/>
    </row>
    <row r="28" spans="1:9" x14ac:dyDescent="0.2">
      <c r="A28" s="52"/>
      <c r="B28" s="41" t="s">
        <v>230</v>
      </c>
      <c r="C28" s="39">
        <f>('DCF Model'!C16-'DCF Model'!C61)/'Income Statement'!I13</f>
        <v>7.7119473077739853</v>
      </c>
      <c r="D28" s="39">
        <f>('DCF Model'!C16-'DCF Model'!C61)/'Income Statement'!J13</f>
        <v>6.4714769263020271</v>
      </c>
      <c r="E28" s="39">
        <f>('DCF Model'!C16-'DCF Model'!C61)/'Income Statement'!K13</f>
        <v>5.405758906783797</v>
      </c>
      <c r="F28" s="37" t="str">
        <f>"EV "&amp;TEXT(('DCF Model'!C16-'DCF Model'!C61)/1000,"#,##0.0")&amp;"B"</f>
        <v>EV 55.4B</v>
      </c>
      <c r="G28" s="37"/>
      <c r="H28" s="37"/>
      <c r="I28" s="37"/>
    </row>
    <row r="29" spans="1:9" x14ac:dyDescent="0.2">
      <c r="A29" s="52"/>
      <c r="B29" s="65" t="s">
        <v>231</v>
      </c>
      <c r="C29" s="72">
        <f>('DCF Model'!C16-'DCF Model'!C61)/'Income Statement'!I48</f>
        <v>21.886372806551307</v>
      </c>
      <c r="D29" s="72">
        <f>('DCF Model'!C16-'DCF Model'!C61)/'Income Statement'!J48</f>
        <v>15.993970672169434</v>
      </c>
      <c r="E29" s="72">
        <f>('DCF Model'!C16-'DCF Model'!C61)/'Income Statement'!K48</f>
        <v>12.523003599536388</v>
      </c>
      <c r="F29" s="67" t="s">
        <v>310</v>
      </c>
      <c r="G29" s="67"/>
      <c r="H29" s="67"/>
      <c r="I29" s="67"/>
    </row>
    <row r="30" spans="1:9" x14ac:dyDescent="0.2">
      <c r="A30" s="52"/>
      <c r="B30" s="68" t="s">
        <v>232</v>
      </c>
      <c r="C30" s="73">
        <f>'DCF Model'!C66/('Income Statement'!I41/'DCF Model'!C63)</f>
        <v>45.588212176284486</v>
      </c>
      <c r="D30" s="73">
        <f>'DCF Model'!C66/('Income Statement'!J41/'DCF Model'!C63)</f>
        <v>43.107438478808966</v>
      </c>
      <c r="E30" s="73">
        <f>'DCF Model'!C66/('Income Statement'!K41/'DCF Model'!C63)</f>
        <v>27.507359388172492</v>
      </c>
      <c r="F30" s="70" t="s">
        <v>311</v>
      </c>
      <c r="G30" s="70"/>
      <c r="H30" s="70"/>
      <c r="I30" s="70"/>
    </row>
    <row r="31" spans="1:9" ht="16" thickBot="1" x14ac:dyDescent="0.25">
      <c r="A31" s="52"/>
      <c r="B31" s="54" t="s">
        <v>233</v>
      </c>
      <c r="C31" s="55">
        <f>'Cash Flow Statement'!I39/'DCF Model'!C16</f>
        <v>3.2378686156199543E-2</v>
      </c>
      <c r="D31" s="55">
        <f>'Cash Flow Statement'!J39/'DCF Model'!C16</f>
        <v>4.5005223338330666E-2</v>
      </c>
      <c r="E31" s="55">
        <f>'Cash Flow Statement'!K39/'DCF Model'!C16</f>
        <v>5.7017504280207826E-2</v>
      </c>
      <c r="F31" s="56" t="s">
        <v>312</v>
      </c>
      <c r="G31" s="56"/>
      <c r="H31" s="56"/>
      <c r="I31" s="56"/>
    </row>
    <row r="32" spans="1:9" x14ac:dyDescent="0.2">
      <c r="A32" s="52"/>
      <c r="B32" s="41"/>
      <c r="C32" s="38"/>
      <c r="D32" s="38"/>
      <c r="E32" s="38"/>
      <c r="F32" s="37"/>
      <c r="G32" s="37"/>
      <c r="H32" s="37"/>
      <c r="I32" s="37"/>
    </row>
    <row r="33" spans="1:9" x14ac:dyDescent="0.2">
      <c r="A33" s="52"/>
      <c r="B33" s="536" t="s">
        <v>313</v>
      </c>
      <c r="C33" s="86"/>
      <c r="D33" s="86"/>
      <c r="E33" s="86"/>
      <c r="F33" s="85"/>
      <c r="G33" s="85"/>
      <c r="H33" s="85"/>
      <c r="I33" s="85"/>
    </row>
    <row r="34" spans="1:9" x14ac:dyDescent="0.2">
      <c r="A34" s="52"/>
      <c r="B34" s="41" t="s">
        <v>554</v>
      </c>
      <c r="C34" s="40">
        <f>'DCF Model'!C23</f>
        <v>0.14325137174314129</v>
      </c>
      <c r="D34" s="38"/>
      <c r="E34" s="38"/>
      <c r="F34" s="37"/>
      <c r="G34" s="37"/>
      <c r="H34" s="37"/>
      <c r="I34" s="37"/>
    </row>
    <row r="35" spans="1:9" x14ac:dyDescent="0.2">
      <c r="A35" s="52"/>
      <c r="B35" s="65" t="s">
        <v>314</v>
      </c>
      <c r="C35" s="81">
        <f>'DCF Model'!C64</f>
        <v>146.42248350968339</v>
      </c>
      <c r="D35" s="74"/>
      <c r="E35" s="74"/>
      <c r="F35" s="67"/>
      <c r="G35" s="67"/>
      <c r="H35" s="67"/>
      <c r="I35" s="67"/>
    </row>
    <row r="36" spans="1:9" x14ac:dyDescent="0.2">
      <c r="A36" s="52"/>
      <c r="B36" s="75" t="str">
        <f>_xlfn.CONCAT("Implied Price — Exit ", 'DCF Model'!D78,"x EBITDA")</f>
        <v>Implied Price — Exit 18x EBITDA</v>
      </c>
      <c r="C36" s="82">
        <f>'DCF Model'!D64</f>
        <v>278.94504606293231</v>
      </c>
      <c r="D36" s="76"/>
      <c r="E36" s="76"/>
      <c r="F36" s="77"/>
      <c r="G36" s="77"/>
      <c r="H36" s="77"/>
      <c r="I36" s="77"/>
    </row>
    <row r="37" spans="1:9" x14ac:dyDescent="0.2">
      <c r="A37" s="52"/>
      <c r="B37" s="62" t="s">
        <v>315</v>
      </c>
      <c r="C37" s="90" t="str">
        <f>_xlfn.CONCAT("$",TEXT('DCF Model'!C64,"#,##0")&amp;" – $"&amp;TEXT('DCF Model'!D64,"#,##0"))</f>
        <v>$146 – $279</v>
      </c>
      <c r="D37" s="71"/>
      <c r="E37" s="71"/>
      <c r="F37" s="64"/>
      <c r="G37" s="64"/>
      <c r="H37" s="64"/>
      <c r="I37" s="64"/>
    </row>
    <row r="38" spans="1:9" ht="16" thickBot="1" x14ac:dyDescent="0.25">
      <c r="A38" s="52"/>
      <c r="B38" s="57" t="str">
        <f>"vs. Current Price ("&amp;TEXT('DCF Model'!C66,"#,##0")&amp;")"</f>
        <v>vs. Current Price (205)</v>
      </c>
      <c r="C38" s="83">
        <f>'DCF Model'!C67</f>
        <v>-0.28574398287959324</v>
      </c>
      <c r="D38" s="84">
        <f>'DCF Model'!D67</f>
        <v>0.36070754177040154</v>
      </c>
      <c r="E38" s="59"/>
      <c r="F38" s="60" t="s">
        <v>316</v>
      </c>
      <c r="G38" s="60"/>
      <c r="H38" s="60"/>
      <c r="I38" s="60"/>
    </row>
    <row r="39" spans="1:9" x14ac:dyDescent="0.2">
      <c r="A39" s="52"/>
      <c r="B39" s="45"/>
      <c r="C39" s="49"/>
      <c r="D39" s="49"/>
      <c r="E39" s="49"/>
      <c r="F39" s="37"/>
      <c r="G39" s="37"/>
      <c r="H39" s="37"/>
      <c r="I39" s="37"/>
    </row>
    <row r="40" spans="1:9" x14ac:dyDescent="0.2">
      <c r="A40" s="52"/>
      <c r="B40" s="45"/>
      <c r="C40" s="49"/>
      <c r="D40" s="49"/>
      <c r="E40" s="49"/>
      <c r="F40" s="37"/>
      <c r="G40" s="37"/>
      <c r="H40" s="37"/>
      <c r="I40" s="37"/>
    </row>
    <row r="41" spans="1:9" x14ac:dyDescent="0.2">
      <c r="A41" s="52"/>
      <c r="B41" s="48" t="s">
        <v>332</v>
      </c>
      <c r="C41" s="86"/>
      <c r="D41" s="86"/>
      <c r="E41" s="86"/>
      <c r="F41" s="85"/>
      <c r="G41" s="85"/>
      <c r="H41" s="85"/>
      <c r="I41" s="85"/>
    </row>
    <row r="42" spans="1:9" x14ac:dyDescent="0.2">
      <c r="A42" s="52"/>
      <c r="B42" s="53" t="s">
        <v>317</v>
      </c>
      <c r="C42" s="520" t="s">
        <v>318</v>
      </c>
      <c r="D42" s="521"/>
      <c r="E42" s="521"/>
      <c r="F42" s="520"/>
      <c r="G42" s="520"/>
      <c r="H42" s="520"/>
      <c r="I42" s="520"/>
    </row>
    <row r="43" spans="1:9" x14ac:dyDescent="0.2">
      <c r="A43" s="52"/>
      <c r="B43" s="50" t="s">
        <v>319</v>
      </c>
      <c r="C43" s="50"/>
      <c r="D43" s="50"/>
      <c r="E43" s="50"/>
      <c r="F43" s="89"/>
      <c r="G43" s="89"/>
      <c r="H43" s="89"/>
      <c r="I43" s="89"/>
    </row>
    <row r="44" spans="1:9" x14ac:dyDescent="0.2">
      <c r="A44" s="52"/>
      <c r="B44" s="43" t="s">
        <v>333</v>
      </c>
      <c r="C44" s="514" t="s">
        <v>552</v>
      </c>
      <c r="D44" s="514"/>
      <c r="E44" s="514"/>
      <c r="F44" s="515"/>
      <c r="G44" s="515"/>
      <c r="H44" s="515"/>
      <c r="I44" s="515"/>
    </row>
    <row r="45" spans="1:9" x14ac:dyDescent="0.2">
      <c r="A45" s="52"/>
      <c r="B45" s="50" t="s">
        <v>320</v>
      </c>
      <c r="C45" s="88"/>
      <c r="D45" s="88"/>
      <c r="E45" s="88"/>
      <c r="F45" s="89"/>
      <c r="G45" s="89"/>
      <c r="H45" s="89"/>
      <c r="I45" s="89"/>
    </row>
    <row r="46" spans="1:9" x14ac:dyDescent="0.2">
      <c r="A46" s="52"/>
      <c r="B46" s="42" t="s">
        <v>334</v>
      </c>
      <c r="C46" s="522" t="s">
        <v>321</v>
      </c>
      <c r="D46" s="522"/>
      <c r="E46" s="522"/>
      <c r="F46" s="523"/>
      <c r="G46" s="523"/>
      <c r="H46" s="523"/>
      <c r="I46" s="523"/>
    </row>
    <row r="47" spans="1:9" x14ac:dyDescent="0.2">
      <c r="A47" s="52"/>
      <c r="B47" s="79" t="s">
        <v>335</v>
      </c>
      <c r="C47" s="524" t="s">
        <v>322</v>
      </c>
      <c r="D47" s="524"/>
      <c r="E47" s="524"/>
      <c r="F47" s="525"/>
      <c r="G47" s="525"/>
      <c r="H47" s="525"/>
      <c r="I47" s="525"/>
    </row>
    <row r="48" spans="1:9" x14ac:dyDescent="0.2">
      <c r="A48" s="52"/>
      <c r="B48" s="80" t="s">
        <v>336</v>
      </c>
      <c r="C48" s="516" t="s">
        <v>323</v>
      </c>
      <c r="D48" s="516"/>
      <c r="E48" s="516"/>
      <c r="F48" s="517"/>
      <c r="G48" s="517"/>
      <c r="H48" s="517"/>
      <c r="I48" s="517"/>
    </row>
    <row r="49" spans="1:9" x14ac:dyDescent="0.2">
      <c r="A49" s="52"/>
      <c r="B49" s="50" t="s">
        <v>324</v>
      </c>
      <c r="C49" s="88"/>
      <c r="D49" s="88"/>
      <c r="E49" s="88"/>
      <c r="F49" s="89"/>
      <c r="G49" s="89"/>
      <c r="H49" s="89"/>
      <c r="I49" s="89"/>
    </row>
    <row r="50" spans="1:9" x14ac:dyDescent="0.2">
      <c r="A50" s="52"/>
      <c r="B50" s="78" t="s">
        <v>337</v>
      </c>
      <c r="C50" s="512" t="s">
        <v>365</v>
      </c>
      <c r="D50" s="512"/>
      <c r="E50" s="512"/>
      <c r="F50" s="513"/>
      <c r="G50" s="513"/>
      <c r="H50" s="513"/>
      <c r="I50" s="513"/>
    </row>
    <row r="51" spans="1:9" x14ac:dyDescent="0.2">
      <c r="A51" s="52"/>
      <c r="B51" s="50" t="s">
        <v>325</v>
      </c>
      <c r="C51" s="88"/>
      <c r="D51" s="88"/>
      <c r="E51" s="88"/>
      <c r="F51" s="89"/>
      <c r="G51" s="89"/>
      <c r="H51" s="89"/>
      <c r="I51" s="89"/>
    </row>
    <row r="52" spans="1:9" x14ac:dyDescent="0.2">
      <c r="A52" s="52"/>
      <c r="B52" s="43" t="s">
        <v>338</v>
      </c>
      <c r="C52" s="514" t="s">
        <v>366</v>
      </c>
      <c r="D52" s="514"/>
      <c r="E52" s="514"/>
      <c r="F52" s="515"/>
      <c r="G52" s="515"/>
      <c r="H52" s="515"/>
      <c r="I52" s="515"/>
    </row>
    <row r="53" spans="1:9" x14ac:dyDescent="0.2">
      <c r="A53" s="52"/>
      <c r="B53" s="80" t="s">
        <v>339</v>
      </c>
      <c r="C53" s="516" t="s">
        <v>326</v>
      </c>
      <c r="D53" s="516"/>
      <c r="E53" s="516"/>
      <c r="F53" s="517"/>
      <c r="G53" s="517"/>
      <c r="H53" s="517"/>
      <c r="I53" s="517"/>
    </row>
    <row r="54" spans="1:9" x14ac:dyDescent="0.2">
      <c r="A54" s="52"/>
      <c r="B54" s="50" t="s">
        <v>327</v>
      </c>
      <c r="C54" s="88"/>
      <c r="D54" s="88"/>
      <c r="E54" s="88"/>
      <c r="F54" s="89"/>
      <c r="G54" s="89"/>
      <c r="H54" s="89"/>
      <c r="I54" s="89"/>
    </row>
    <row r="55" spans="1:9" ht="16" thickBot="1" x14ac:dyDescent="0.25">
      <c r="A55" s="52"/>
      <c r="B55" s="61" t="s">
        <v>340</v>
      </c>
      <c r="C55" s="518" t="s">
        <v>328</v>
      </c>
      <c r="D55" s="518"/>
      <c r="E55" s="518"/>
      <c r="F55" s="519"/>
      <c r="G55" s="519"/>
      <c r="H55" s="519"/>
      <c r="I55" s="519"/>
    </row>
    <row r="56" spans="1:9" x14ac:dyDescent="0.2">
      <c r="A56" s="52"/>
      <c r="B56" s="45"/>
      <c r="C56" s="45"/>
      <c r="D56" s="45"/>
      <c r="E56" s="45"/>
      <c r="F56" s="45"/>
      <c r="G56" s="45"/>
      <c r="H56" s="45"/>
      <c r="I56" s="45"/>
    </row>
    <row r="57" spans="1:9" x14ac:dyDescent="0.2">
      <c r="A57" s="52"/>
      <c r="B57" s="51" t="s">
        <v>329</v>
      </c>
      <c r="C57" s="51"/>
      <c r="D57" s="51"/>
      <c r="E57" s="51"/>
      <c r="F57" s="51"/>
      <c r="G57" s="51"/>
      <c r="H57" s="51"/>
      <c r="I57" s="51"/>
    </row>
    <row r="58" spans="1:9" x14ac:dyDescent="0.2">
      <c r="A58" s="52"/>
      <c r="B58" s="51"/>
      <c r="C58" s="51"/>
      <c r="D58" s="51"/>
      <c r="E58" s="51"/>
      <c r="F58" s="51"/>
      <c r="G58" s="51"/>
      <c r="H58" s="51"/>
      <c r="I58" s="51"/>
    </row>
  </sheetData>
  <phoneticPr fontId="102" type="noConversion"/>
  <hyperlinks>
    <hyperlink ref="B44" location="'Assumptions'!A1" display="Assumptions" xr:uid="{E103369D-8A34-E548-A6B3-FAEA8F9D4DF9}"/>
    <hyperlink ref="B46" location="'Income Statement'!A1" display="Income Statement" xr:uid="{631D1EBF-62AF-A844-BA18-0858D84DD21C}"/>
    <hyperlink ref="B47" location="'Balance Sheet'!A1" display="Balance Sheet" xr:uid="{13A3914D-4D4F-7E4E-B38A-FD0B97E95DFB}"/>
    <hyperlink ref="B48" location="'Cash Flow Statement'!A1" display="Cash Flow Statement" xr:uid="{82D2E0EE-E03A-7B4F-8C20-FC8D141B4271}"/>
    <hyperlink ref="B50" location="'DCF Model'!A1" display="DCF Model" xr:uid="{9E9572BF-2FDB-AF47-99EC-DEAC9EF44970}"/>
    <hyperlink ref="B52" location="'USDC Scenarios'!A1" display="USDC Scenarios" xr:uid="{568828B3-9006-EA4F-BCA0-DBF4464AAFDC}"/>
    <hyperlink ref="B53" location="'Deribit Acquisition'!A1" display="Deribit Acquisition" xr:uid="{47471277-4943-4045-B55B-ACA7FCC694BE}"/>
    <hyperlink ref="B55" location="'Supporting Schedules'!A1" display="Supporting Schedules" xr:uid="{2C3DBF33-7AA0-AB4B-8E0E-48BD7BF3606C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B7FA6"/>
  </sheetPr>
  <dimension ref="A1:O123"/>
  <sheetViews>
    <sheetView showGridLines="0" zoomScaleNormal="100" workbookViewId="0">
      <pane xSplit="2" ySplit="3" topLeftCell="C74" activePane="bottomRight" state="frozen"/>
      <selection pane="topRight" activeCell="C1" sqref="C1"/>
      <selection pane="bottomLeft" activeCell="A4" sqref="A4"/>
      <selection pane="bottomRight" activeCell="W11" sqref="W11"/>
    </sheetView>
  </sheetViews>
  <sheetFormatPr baseColWidth="10" defaultColWidth="8.6640625" defaultRowHeight="15" x14ac:dyDescent="0.2"/>
  <cols>
    <col min="1" max="1" width="43.33203125" customWidth="1"/>
    <col min="2" max="2" width="10" style="211" customWidth="1"/>
    <col min="3" max="15" width="13.33203125" customWidth="1"/>
  </cols>
  <sheetData>
    <row r="1" spans="1:15" ht="21" x14ac:dyDescent="0.25">
      <c r="A1" s="537" t="s">
        <v>192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x14ac:dyDescent="0.2">
      <c r="A2" s="538"/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</row>
    <row r="3" spans="1:15" x14ac:dyDescent="0.2">
      <c r="A3" s="177"/>
      <c r="B3" s="177"/>
      <c r="C3" s="179" t="s">
        <v>9</v>
      </c>
      <c r="D3" s="179" t="s">
        <v>10</v>
      </c>
      <c r="E3" s="179" t="s">
        <v>11</v>
      </c>
      <c r="F3" s="179" t="s">
        <v>12</v>
      </c>
      <c r="G3" s="179" t="s">
        <v>170</v>
      </c>
      <c r="H3" s="179" t="s">
        <v>171</v>
      </c>
      <c r="I3" s="179" t="s">
        <v>172</v>
      </c>
      <c r="J3" s="177" t="s">
        <v>566</v>
      </c>
      <c r="K3" s="177"/>
      <c r="L3" s="177"/>
      <c r="M3" s="177"/>
      <c r="N3" s="177"/>
      <c r="O3" s="177"/>
    </row>
    <row r="4" spans="1:15" x14ac:dyDescent="0.2">
      <c r="A4" s="146" t="s">
        <v>417</v>
      </c>
      <c r="B4" s="299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x14ac:dyDescent="0.2">
      <c r="A5" s="33" t="s">
        <v>418</v>
      </c>
      <c r="B5" s="96" t="s">
        <v>195</v>
      </c>
      <c r="C5" s="300">
        <v>5.2499999999999998E-2</v>
      </c>
      <c r="D5" s="300">
        <v>4.3299999999999998E-2</v>
      </c>
      <c r="E5" s="226">
        <v>3.7499999999999999E-2</v>
      </c>
      <c r="F5" s="226">
        <v>3.2500000000000001E-2</v>
      </c>
      <c r="G5" s="226">
        <v>2.75E-2</v>
      </c>
      <c r="H5" s="226">
        <v>2.5000000000000001E-2</v>
      </c>
      <c r="I5" s="226">
        <v>2.2499999999999999E-2</v>
      </c>
      <c r="J5" s="301" t="s">
        <v>563</v>
      </c>
      <c r="K5" s="33"/>
      <c r="L5" s="33"/>
      <c r="M5" s="33"/>
      <c r="N5" s="33"/>
      <c r="O5" s="33"/>
    </row>
    <row r="6" spans="1:15" x14ac:dyDescent="0.2">
      <c r="A6" s="34" t="s">
        <v>476</v>
      </c>
      <c r="B6" s="109" t="s">
        <v>198</v>
      </c>
      <c r="C6" s="302">
        <v>-182</v>
      </c>
      <c r="D6" s="302">
        <v>-46</v>
      </c>
      <c r="E6" s="441">
        <v>13</v>
      </c>
      <c r="F6" s="441">
        <v>73</v>
      </c>
      <c r="G6" s="441">
        <v>50</v>
      </c>
      <c r="H6" s="441">
        <v>50</v>
      </c>
      <c r="I6" s="441">
        <v>50</v>
      </c>
      <c r="J6" s="303"/>
      <c r="K6" s="34"/>
      <c r="L6" s="34"/>
      <c r="M6" s="34"/>
      <c r="N6" s="34"/>
      <c r="O6" s="34"/>
    </row>
    <row r="7" spans="1:15" x14ac:dyDescent="0.2">
      <c r="A7" s="33" t="s">
        <v>475</v>
      </c>
      <c r="B7" s="96" t="s">
        <v>195</v>
      </c>
      <c r="C7" s="243">
        <f t="shared" ref="C7:I7" si="0">C5+C6/10000</f>
        <v>3.4299999999999997E-2</v>
      </c>
      <c r="D7" s="243">
        <f t="shared" si="0"/>
        <v>3.8699999999999998E-2</v>
      </c>
      <c r="E7" s="243">
        <f t="shared" si="0"/>
        <v>3.8800000000000001E-2</v>
      </c>
      <c r="F7" s="243">
        <f t="shared" si="0"/>
        <v>3.9800000000000002E-2</v>
      </c>
      <c r="G7" s="243">
        <f t="shared" si="0"/>
        <v>3.2500000000000001E-2</v>
      </c>
      <c r="H7" s="243">
        <f t="shared" si="0"/>
        <v>3.0000000000000002E-2</v>
      </c>
      <c r="I7" s="243">
        <f t="shared" si="0"/>
        <v>2.75E-2</v>
      </c>
      <c r="J7" s="301" t="s">
        <v>607</v>
      </c>
      <c r="K7" s="33"/>
      <c r="L7" s="33"/>
      <c r="M7" s="33"/>
      <c r="N7" s="33"/>
      <c r="O7" s="33"/>
    </row>
    <row r="8" spans="1:15" x14ac:dyDescent="0.2">
      <c r="A8" s="34" t="s">
        <v>425</v>
      </c>
      <c r="B8" s="109" t="s">
        <v>424</v>
      </c>
      <c r="C8" s="302">
        <v>2.2999999999999998</v>
      </c>
      <c r="D8" s="302">
        <v>3.2</v>
      </c>
      <c r="E8" s="441">
        <v>3.5</v>
      </c>
      <c r="F8" s="441">
        <v>4.2</v>
      </c>
      <c r="G8" s="441">
        <v>5</v>
      </c>
      <c r="H8" s="441">
        <v>5.8</v>
      </c>
      <c r="I8" s="441">
        <v>6.5</v>
      </c>
      <c r="J8" s="303" t="s">
        <v>567</v>
      </c>
      <c r="K8" s="34"/>
      <c r="L8" s="34"/>
      <c r="M8" s="34"/>
      <c r="N8" s="34"/>
      <c r="O8" s="34"/>
    </row>
    <row r="9" spans="1:15" x14ac:dyDescent="0.2">
      <c r="A9" s="33" t="s">
        <v>419</v>
      </c>
      <c r="B9" s="96" t="s">
        <v>195</v>
      </c>
      <c r="C9" s="300">
        <v>4.4999999999999998E-2</v>
      </c>
      <c r="D9" s="300">
        <v>0.04</v>
      </c>
      <c r="E9" s="226">
        <v>3.6999999999999998E-2</v>
      </c>
      <c r="F9" s="226">
        <v>3.4000000000000002E-2</v>
      </c>
      <c r="G9" s="226">
        <v>3.1E-2</v>
      </c>
      <c r="H9" s="226">
        <v>2.9000000000000001E-2</v>
      </c>
      <c r="I9" s="226">
        <v>2.7E-2</v>
      </c>
      <c r="J9" s="301" t="s">
        <v>474</v>
      </c>
      <c r="K9" s="33"/>
      <c r="L9" s="33"/>
      <c r="M9" s="33"/>
      <c r="N9" s="33"/>
      <c r="O9" s="33"/>
    </row>
    <row r="10" spans="1:15" x14ac:dyDescent="0.2">
      <c r="A10" s="34" t="s">
        <v>420</v>
      </c>
      <c r="B10" s="109" t="s">
        <v>195</v>
      </c>
      <c r="C10" s="304">
        <v>0.27</v>
      </c>
      <c r="D10" s="304">
        <v>0.3</v>
      </c>
      <c r="E10" s="228">
        <v>0.32</v>
      </c>
      <c r="F10" s="228">
        <v>0.34</v>
      </c>
      <c r="G10" s="228">
        <v>0.36</v>
      </c>
      <c r="H10" s="228">
        <v>0.38</v>
      </c>
      <c r="I10" s="228">
        <v>0.4</v>
      </c>
      <c r="J10" s="303" t="s">
        <v>196</v>
      </c>
      <c r="K10" s="34"/>
      <c r="L10" s="34"/>
      <c r="M10" s="34"/>
      <c r="N10" s="34"/>
      <c r="O10" s="34"/>
    </row>
    <row r="11" spans="1:15" x14ac:dyDescent="0.2">
      <c r="A11" s="33" t="s">
        <v>473</v>
      </c>
      <c r="B11" s="96" t="s">
        <v>421</v>
      </c>
      <c r="C11" s="256">
        <v>93500</v>
      </c>
      <c r="D11" s="256">
        <v>87000</v>
      </c>
      <c r="E11" s="442">
        <v>80000</v>
      </c>
      <c r="F11" s="442">
        <v>90000</v>
      </c>
      <c r="G11" s="442">
        <v>100000</v>
      </c>
      <c r="H11" s="442">
        <v>110000</v>
      </c>
      <c r="I11" s="442">
        <v>120000</v>
      </c>
      <c r="J11" s="301" t="s">
        <v>197</v>
      </c>
      <c r="K11" s="33"/>
      <c r="L11" s="33"/>
      <c r="M11" s="33"/>
      <c r="N11" s="33"/>
      <c r="O11" s="33"/>
    </row>
    <row r="12" spans="1:15" x14ac:dyDescent="0.2">
      <c r="A12" s="34" t="s">
        <v>581</v>
      </c>
      <c r="B12" s="109" t="s">
        <v>421</v>
      </c>
      <c r="C12" s="262"/>
      <c r="D12" s="262"/>
      <c r="E12" s="178">
        <v>2500</v>
      </c>
      <c r="F12" s="178">
        <v>3000</v>
      </c>
      <c r="G12" s="178">
        <v>3500</v>
      </c>
      <c r="H12" s="178">
        <v>4000</v>
      </c>
      <c r="I12" s="178">
        <v>4500</v>
      </c>
      <c r="J12" s="303" t="s">
        <v>582</v>
      </c>
      <c r="K12" s="33"/>
      <c r="L12" s="33"/>
      <c r="M12" s="33"/>
      <c r="N12" s="33"/>
      <c r="O12" s="33"/>
    </row>
    <row r="13" spans="1:15" x14ac:dyDescent="0.2">
      <c r="A13" s="15"/>
      <c r="B13" s="200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">
      <c r="A14" s="146" t="s">
        <v>422</v>
      </c>
      <c r="B14" s="299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spans="1:15" x14ac:dyDescent="0.2">
      <c r="A15" s="146" t="s">
        <v>604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</row>
    <row r="16" spans="1:15" x14ac:dyDescent="0.2">
      <c r="A16" s="305" t="s">
        <v>430</v>
      </c>
      <c r="B16" s="306" t="s">
        <v>199</v>
      </c>
      <c r="C16" s="307">
        <f>'Income Statement'!H5</f>
        <v>3430.3220000000001</v>
      </c>
      <c r="D16" s="307">
        <f>'Income Statement'!I5</f>
        <v>3322.835</v>
      </c>
      <c r="E16" s="308">
        <f>E17*E18/10</f>
        <v>4320</v>
      </c>
      <c r="F16" s="308">
        <f>F17*F18/10</f>
        <v>5000</v>
      </c>
      <c r="G16" s="308">
        <f>G17*G18/10</f>
        <v>5850</v>
      </c>
      <c r="H16" s="308">
        <f>H17*H18/10</f>
        <v>6562.5</v>
      </c>
      <c r="I16" s="308">
        <f>I17*I18/10</f>
        <v>7650</v>
      </c>
      <c r="J16" s="309" t="s">
        <v>564</v>
      </c>
      <c r="K16" s="305"/>
      <c r="L16" s="305"/>
      <c r="M16" s="305"/>
      <c r="N16" s="305"/>
      <c r="O16" s="305"/>
    </row>
    <row r="17" spans="1:15" x14ac:dyDescent="0.2">
      <c r="A17" s="33" t="s">
        <v>426</v>
      </c>
      <c r="B17" s="96" t="s">
        <v>416</v>
      </c>
      <c r="C17" s="314">
        <v>224</v>
      </c>
      <c r="D17" s="314">
        <v>239</v>
      </c>
      <c r="E17" s="443">
        <v>360</v>
      </c>
      <c r="F17" s="443">
        <v>500</v>
      </c>
      <c r="G17" s="443">
        <v>650</v>
      </c>
      <c r="H17" s="443">
        <v>750</v>
      </c>
      <c r="I17" s="443">
        <v>900</v>
      </c>
      <c r="J17" s="301"/>
      <c r="K17" s="33"/>
      <c r="L17" s="33"/>
      <c r="M17" s="33"/>
      <c r="N17" s="33"/>
      <c r="O17" s="33"/>
    </row>
    <row r="18" spans="1:15" x14ac:dyDescent="0.2">
      <c r="A18" s="135" t="s">
        <v>427</v>
      </c>
      <c r="B18" s="201" t="s">
        <v>198</v>
      </c>
      <c r="C18" s="310">
        <f>IF(C17=0,"",C16/C17*10)</f>
        <v>153.139375</v>
      </c>
      <c r="D18" s="310">
        <f>IF(D17=0,"",D16/D17*10)</f>
        <v>139.03075313807531</v>
      </c>
      <c r="E18" s="444">
        <v>120</v>
      </c>
      <c r="F18" s="444">
        <v>100</v>
      </c>
      <c r="G18" s="444">
        <v>90</v>
      </c>
      <c r="H18" s="444">
        <v>87.5</v>
      </c>
      <c r="I18" s="444">
        <v>85</v>
      </c>
      <c r="J18" s="311" t="s">
        <v>579</v>
      </c>
      <c r="K18" s="312"/>
      <c r="L18" s="312"/>
      <c r="M18" s="312"/>
      <c r="N18" s="312"/>
      <c r="O18" s="312"/>
    </row>
    <row r="19" spans="1:15" x14ac:dyDescent="0.2">
      <c r="A19" s="305" t="s">
        <v>431</v>
      </c>
      <c r="B19" s="306" t="s">
        <v>199</v>
      </c>
      <c r="C19" s="307">
        <f>'Income Statement'!H6</f>
        <v>345.59800000000001</v>
      </c>
      <c r="D19" s="307">
        <f>'Income Statement'!I6</f>
        <v>479.66699999999997</v>
      </c>
      <c r="E19" s="308">
        <f>E20*E21/10</f>
        <v>550</v>
      </c>
      <c r="F19" s="308">
        <f>F20*F21/10</f>
        <v>1100</v>
      </c>
      <c r="G19" s="308">
        <f>G20*G21/10</f>
        <v>1200</v>
      </c>
      <c r="H19" s="308">
        <f>H20*H21/10</f>
        <v>1500</v>
      </c>
      <c r="I19" s="308">
        <f>I20*I21/10</f>
        <v>1750</v>
      </c>
      <c r="J19" s="309" t="s">
        <v>565</v>
      </c>
      <c r="K19" s="305"/>
      <c r="L19" s="305"/>
      <c r="M19" s="305"/>
      <c r="N19" s="305"/>
      <c r="O19" s="305"/>
    </row>
    <row r="20" spans="1:15" x14ac:dyDescent="0.2">
      <c r="A20" s="34" t="s">
        <v>428</v>
      </c>
      <c r="B20" s="109" t="s">
        <v>416</v>
      </c>
      <c r="C20" s="302">
        <v>965</v>
      </c>
      <c r="D20" s="302">
        <v>982</v>
      </c>
      <c r="E20" s="441">
        <v>1100</v>
      </c>
      <c r="F20" s="441">
        <v>2000</v>
      </c>
      <c r="G20" s="441">
        <v>2400</v>
      </c>
      <c r="H20" s="441">
        <v>3000</v>
      </c>
      <c r="I20" s="441">
        <v>3500</v>
      </c>
      <c r="J20" s="303"/>
      <c r="K20" s="34"/>
      <c r="L20" s="34"/>
      <c r="M20" s="34"/>
      <c r="N20" s="34"/>
      <c r="O20" s="34"/>
    </row>
    <row r="21" spans="1:15" x14ac:dyDescent="0.2">
      <c r="A21" s="135" t="s">
        <v>429</v>
      </c>
      <c r="B21" s="201" t="s">
        <v>198</v>
      </c>
      <c r="C21" s="310">
        <f>IF(C20=0,"",C19/C20*10)</f>
        <v>3.5813264248704662</v>
      </c>
      <c r="D21" s="310">
        <f>IF(D20=0,"",D19/D20*10)</f>
        <v>4.8845926680244398</v>
      </c>
      <c r="E21" s="444">
        <v>5</v>
      </c>
      <c r="F21" s="444">
        <v>5.5</v>
      </c>
      <c r="G21" s="444">
        <v>5</v>
      </c>
      <c r="H21" s="444">
        <v>5</v>
      </c>
      <c r="I21" s="444">
        <v>5</v>
      </c>
      <c r="J21" s="311" t="s">
        <v>580</v>
      </c>
      <c r="K21" s="312"/>
      <c r="L21" s="312"/>
      <c r="M21" s="312"/>
      <c r="N21" s="312"/>
      <c r="O21" s="312"/>
    </row>
    <row r="22" spans="1:15" x14ac:dyDescent="0.2">
      <c r="A22" s="305" t="s">
        <v>432</v>
      </c>
      <c r="B22" s="306" t="s">
        <v>199</v>
      </c>
      <c r="C22" s="307">
        <f>'Income Statement'!H6</f>
        <v>345.59800000000001</v>
      </c>
      <c r="D22" s="307">
        <f>'Income Statement'!I6</f>
        <v>479.66699999999997</v>
      </c>
      <c r="E22" s="445">
        <v>400</v>
      </c>
      <c r="F22" s="445">
        <v>450</v>
      </c>
      <c r="G22" s="308">
        <f>G23*G24/10</f>
        <v>501</v>
      </c>
      <c r="H22" s="308">
        <f>H23*H24/10</f>
        <v>549.5</v>
      </c>
      <c r="I22" s="308">
        <f>I23*I24/10</f>
        <v>600</v>
      </c>
      <c r="J22" s="309" t="s">
        <v>556</v>
      </c>
      <c r="K22" s="305"/>
      <c r="L22" s="305"/>
      <c r="M22" s="305"/>
      <c r="N22" s="305"/>
      <c r="O22" s="305"/>
    </row>
    <row r="23" spans="1:15" x14ac:dyDescent="0.2">
      <c r="A23" s="33" t="s">
        <v>484</v>
      </c>
      <c r="B23" s="96" t="s">
        <v>416</v>
      </c>
      <c r="C23" s="314">
        <v>0</v>
      </c>
      <c r="D23" s="314">
        <v>0</v>
      </c>
      <c r="E23" s="443">
        <v>200</v>
      </c>
      <c r="F23" s="443">
        <v>250</v>
      </c>
      <c r="G23" s="443">
        <v>300</v>
      </c>
      <c r="H23" s="443">
        <v>350</v>
      </c>
      <c r="I23" s="443">
        <v>400</v>
      </c>
      <c r="J23" s="301"/>
      <c r="K23" s="33"/>
      <c r="L23" s="33"/>
      <c r="M23" s="33"/>
      <c r="N23" s="33"/>
      <c r="O23" s="33"/>
    </row>
    <row r="24" spans="1:15" x14ac:dyDescent="0.2">
      <c r="A24" s="135" t="s">
        <v>485</v>
      </c>
      <c r="B24" s="201" t="s">
        <v>198</v>
      </c>
      <c r="C24" s="310" t="str">
        <f>IF(C23=0,"",C22/C23*10)</f>
        <v/>
      </c>
      <c r="D24" s="310" t="str">
        <f>IF(D23=0,"",D22/D23*10)</f>
        <v/>
      </c>
      <c r="E24" s="444">
        <v>20</v>
      </c>
      <c r="F24" s="444">
        <v>18</v>
      </c>
      <c r="G24" s="444">
        <v>16.7</v>
      </c>
      <c r="H24" s="444">
        <v>15.7</v>
      </c>
      <c r="I24" s="444">
        <v>15</v>
      </c>
      <c r="J24" s="311"/>
      <c r="K24" s="135"/>
      <c r="L24" s="135"/>
      <c r="M24" s="135"/>
      <c r="N24" s="135"/>
      <c r="O24" s="135"/>
    </row>
    <row r="25" spans="1:15" x14ac:dyDescent="0.2">
      <c r="A25" s="305" t="s">
        <v>433</v>
      </c>
      <c r="B25" s="306" t="s">
        <v>199</v>
      </c>
      <c r="C25" s="307">
        <f>'Income Statement'!H7</f>
        <v>210.19300000000001</v>
      </c>
      <c r="D25" s="307">
        <f>'Income Statement'!I7</f>
        <v>252.88800000000001</v>
      </c>
      <c r="E25" s="308">
        <f>E26*(1-E27)*(1-E28)+E29</f>
        <v>279.76100000000002</v>
      </c>
      <c r="F25" s="308">
        <f>F26*(1-F27)*(1-F28)+F29</f>
        <v>347.5</v>
      </c>
      <c r="G25" s="308">
        <f>G26*(1-G27)*(1-G28)+G29</f>
        <v>490</v>
      </c>
      <c r="H25" s="308">
        <f>H26*(1-H27)*(1-H28)+H29</f>
        <v>567</v>
      </c>
      <c r="I25" s="308">
        <f>I26*(1-I27)*(1-I28)+I29</f>
        <v>744</v>
      </c>
      <c r="J25" s="309" t="s">
        <v>557</v>
      </c>
      <c r="K25" s="305"/>
      <c r="L25" s="305"/>
      <c r="M25" s="305"/>
      <c r="N25" s="305"/>
      <c r="O25" s="305"/>
    </row>
    <row r="26" spans="1:15" x14ac:dyDescent="0.2">
      <c r="A26" s="34" t="s">
        <v>442</v>
      </c>
      <c r="B26" s="109" t="s">
        <v>199</v>
      </c>
      <c r="C26" s="262">
        <v>2.5</v>
      </c>
      <c r="D26" s="262">
        <v>75.400000000000006</v>
      </c>
      <c r="E26" s="178">
        <v>57</v>
      </c>
      <c r="F26" s="178">
        <v>75</v>
      </c>
      <c r="G26" s="178">
        <v>100</v>
      </c>
      <c r="H26" s="178">
        <v>130</v>
      </c>
      <c r="I26" s="178">
        <v>160</v>
      </c>
      <c r="J26" s="303"/>
      <c r="K26" s="34"/>
      <c r="L26" s="34"/>
      <c r="M26" s="34"/>
      <c r="N26" s="34"/>
      <c r="O26" s="34"/>
    </row>
    <row r="27" spans="1:15" x14ac:dyDescent="0.2">
      <c r="A27" s="33" t="s">
        <v>486</v>
      </c>
      <c r="B27" s="96" t="s">
        <v>195</v>
      </c>
      <c r="C27" s="300">
        <v>0.1</v>
      </c>
      <c r="D27" s="300">
        <v>0.1</v>
      </c>
      <c r="E27" s="226">
        <v>0.1</v>
      </c>
      <c r="F27" s="226">
        <v>0.1</v>
      </c>
      <c r="G27" s="226">
        <v>0.1</v>
      </c>
      <c r="H27" s="226">
        <v>0.1</v>
      </c>
      <c r="I27" s="226">
        <v>0.1</v>
      </c>
      <c r="J27" s="301"/>
      <c r="K27" s="33"/>
      <c r="L27" s="33"/>
      <c r="M27" s="33"/>
      <c r="N27" s="33"/>
      <c r="O27" s="33"/>
    </row>
    <row r="28" spans="1:15" x14ac:dyDescent="0.2">
      <c r="A28" s="34" t="s">
        <v>487</v>
      </c>
      <c r="B28" s="109" t="s">
        <v>195</v>
      </c>
      <c r="C28" s="304">
        <v>0.12</v>
      </c>
      <c r="D28" s="304">
        <v>0.12</v>
      </c>
      <c r="E28" s="227">
        <f>0.12/4</f>
        <v>0.03</v>
      </c>
      <c r="F28" s="228">
        <v>0</v>
      </c>
      <c r="G28" s="228">
        <v>0</v>
      </c>
      <c r="H28" s="228">
        <v>0</v>
      </c>
      <c r="I28" s="228">
        <v>0</v>
      </c>
      <c r="J28" s="303"/>
      <c r="K28" s="34"/>
      <c r="L28" s="34"/>
      <c r="M28" s="34"/>
      <c r="N28" s="34"/>
      <c r="O28" s="34"/>
    </row>
    <row r="29" spans="1:15" x14ac:dyDescent="0.2">
      <c r="A29" s="33" t="s">
        <v>488</v>
      </c>
      <c r="B29" s="96" t="s">
        <v>199</v>
      </c>
      <c r="C29" s="285">
        <f>C25-C26*(1-C27)*(1-C28)</f>
        <v>208.21300000000002</v>
      </c>
      <c r="D29" s="285">
        <f>D25-D26*(1-D27)*(1-D28)</f>
        <v>193.1712</v>
      </c>
      <c r="E29" s="442">
        <v>230</v>
      </c>
      <c r="F29" s="442">
        <v>280</v>
      </c>
      <c r="G29" s="442">
        <v>400</v>
      </c>
      <c r="H29" s="442">
        <v>450</v>
      </c>
      <c r="I29" s="442">
        <v>600</v>
      </c>
      <c r="J29" s="301" t="s">
        <v>606</v>
      </c>
      <c r="K29" s="33"/>
      <c r="L29" s="33"/>
      <c r="M29" s="33"/>
      <c r="N29" s="33"/>
      <c r="O29" s="33"/>
    </row>
    <row r="30" spans="1:15" x14ac:dyDescent="0.2">
      <c r="A30" s="33"/>
      <c r="B30" s="96"/>
      <c r="C30" s="285"/>
      <c r="D30" s="285"/>
      <c r="E30" s="442"/>
      <c r="F30" s="442"/>
      <c r="G30" s="442"/>
      <c r="H30" s="442"/>
      <c r="I30" s="442"/>
      <c r="J30" s="301"/>
      <c r="K30" s="33"/>
      <c r="L30" s="33"/>
      <c r="M30" s="33"/>
      <c r="N30" s="33"/>
      <c r="O30" s="33"/>
    </row>
    <row r="31" spans="1:15" x14ac:dyDescent="0.2">
      <c r="A31" s="146" t="s">
        <v>605</v>
      </c>
      <c r="B31" s="114"/>
      <c r="C31" s="313"/>
      <c r="D31" s="313"/>
      <c r="E31" s="313"/>
      <c r="F31" s="313"/>
      <c r="G31" s="313"/>
      <c r="H31" s="313"/>
      <c r="I31" s="313"/>
      <c r="J31" s="147"/>
      <c r="K31" s="146"/>
      <c r="L31" s="146"/>
      <c r="M31" s="146"/>
      <c r="N31" s="146"/>
      <c r="O31" s="146"/>
    </row>
    <row r="32" spans="1:15" x14ac:dyDescent="0.2">
      <c r="A32" s="305" t="s">
        <v>434</v>
      </c>
      <c r="B32" s="306" t="s">
        <v>199</v>
      </c>
      <c r="C32" s="307">
        <f>'Income Statement'!H8</f>
        <v>910.46400000000006</v>
      </c>
      <c r="D32" s="307">
        <f>'Income Statement'!I8</f>
        <v>1348.8209999999999</v>
      </c>
      <c r="E32" s="308">
        <f>(E33*E35+(E34-E33)*E36)*E7*1000</f>
        <v>1435.6</v>
      </c>
      <c r="F32" s="308">
        <f t="shared" ref="F32:I32" si="1">(F33*F35+(F34-F33)*F36)*F7*1000</f>
        <v>1651.7000000000003</v>
      </c>
      <c r="G32" s="308">
        <f t="shared" si="1"/>
        <v>1495</v>
      </c>
      <c r="H32" s="308">
        <f t="shared" si="1"/>
        <v>1575.0000000000002</v>
      </c>
      <c r="I32" s="308">
        <f t="shared" si="1"/>
        <v>1650</v>
      </c>
      <c r="J32" s="309"/>
      <c r="K32" s="305"/>
      <c r="L32" s="305"/>
      <c r="M32" s="305"/>
      <c r="N32" s="305"/>
      <c r="O32" s="305"/>
    </row>
    <row r="33" spans="1:15" x14ac:dyDescent="0.2">
      <c r="A33" s="33" t="s">
        <v>436</v>
      </c>
      <c r="B33" s="96" t="s">
        <v>416</v>
      </c>
      <c r="C33" s="314">
        <v>8.5</v>
      </c>
      <c r="D33" s="314">
        <v>17.8</v>
      </c>
      <c r="E33" s="443">
        <v>19</v>
      </c>
      <c r="F33" s="443">
        <v>21</v>
      </c>
      <c r="G33" s="443">
        <v>22</v>
      </c>
      <c r="H33" s="443">
        <v>25</v>
      </c>
      <c r="I33" s="443">
        <v>28</v>
      </c>
      <c r="J33" s="301"/>
      <c r="K33" s="33"/>
      <c r="L33" s="33"/>
      <c r="M33" s="33"/>
      <c r="N33" s="33"/>
      <c r="O33" s="33"/>
    </row>
    <row r="34" spans="1:15" x14ac:dyDescent="0.2">
      <c r="A34" s="34" t="s">
        <v>437</v>
      </c>
      <c r="B34" s="109" t="s">
        <v>416</v>
      </c>
      <c r="C34" s="302">
        <v>44.5</v>
      </c>
      <c r="D34" s="302">
        <v>52</v>
      </c>
      <c r="E34" s="441">
        <v>55</v>
      </c>
      <c r="F34" s="441">
        <v>62</v>
      </c>
      <c r="G34" s="441">
        <v>70</v>
      </c>
      <c r="H34" s="441">
        <v>80</v>
      </c>
      <c r="I34" s="441">
        <v>92</v>
      </c>
      <c r="J34" s="303"/>
      <c r="K34" s="34"/>
      <c r="L34" s="34"/>
      <c r="M34" s="34"/>
      <c r="N34" s="34"/>
      <c r="O34" s="34"/>
    </row>
    <row r="35" spans="1:15" x14ac:dyDescent="0.2">
      <c r="A35" s="33" t="s">
        <v>438</v>
      </c>
      <c r="B35" s="96" t="s">
        <v>195</v>
      </c>
      <c r="C35" s="300">
        <v>1</v>
      </c>
      <c r="D35" s="300">
        <v>1</v>
      </c>
      <c r="E35" s="226">
        <v>1</v>
      </c>
      <c r="F35" s="226">
        <v>1</v>
      </c>
      <c r="G35" s="226">
        <v>1</v>
      </c>
      <c r="H35" s="226">
        <v>1</v>
      </c>
      <c r="I35" s="226">
        <v>1</v>
      </c>
      <c r="J35" s="301" t="s">
        <v>568</v>
      </c>
      <c r="K35" s="33"/>
      <c r="L35" s="33"/>
      <c r="M35" s="33"/>
      <c r="N35" s="33"/>
      <c r="O35" s="33"/>
    </row>
    <row r="36" spans="1:15" x14ac:dyDescent="0.2">
      <c r="A36" s="34" t="s">
        <v>439</v>
      </c>
      <c r="B36" s="109" t="s">
        <v>195</v>
      </c>
      <c r="C36" s="304">
        <v>0.5</v>
      </c>
      <c r="D36" s="304">
        <v>0.5</v>
      </c>
      <c r="E36" s="228">
        <v>0.5</v>
      </c>
      <c r="F36" s="228">
        <v>0.5</v>
      </c>
      <c r="G36" s="228">
        <v>0.5</v>
      </c>
      <c r="H36" s="228">
        <v>0.5</v>
      </c>
      <c r="I36" s="228">
        <v>0.5</v>
      </c>
      <c r="J36" s="303" t="s">
        <v>569</v>
      </c>
      <c r="K36" s="34"/>
      <c r="L36" s="34"/>
      <c r="M36" s="34"/>
      <c r="N36" s="34"/>
      <c r="O36" s="34"/>
    </row>
    <row r="37" spans="1:15" x14ac:dyDescent="0.2">
      <c r="A37" s="305" t="s">
        <v>435</v>
      </c>
      <c r="B37" s="306" t="s">
        <v>199</v>
      </c>
      <c r="C37" s="307">
        <f>'Income Statement'!H9</f>
        <v>705.75699999999995</v>
      </c>
      <c r="D37" s="307">
        <f>'Income Statement'!I9</f>
        <v>677.40499999999997</v>
      </c>
      <c r="E37" s="308">
        <f>E38*E9*E12</f>
        <v>249.75</v>
      </c>
      <c r="F37" s="308">
        <f>F38*F9*F12</f>
        <v>295.8</v>
      </c>
      <c r="G37" s="308">
        <f>G38*G9*G12</f>
        <v>336.35</v>
      </c>
      <c r="H37" s="308">
        <f>H38*H9*H12</f>
        <v>382.79999999999995</v>
      </c>
      <c r="I37" s="308">
        <f>I38*I9*I12</f>
        <v>425.25</v>
      </c>
      <c r="J37" s="309"/>
      <c r="K37" s="305"/>
      <c r="L37" s="305"/>
      <c r="M37" s="305"/>
      <c r="N37" s="305"/>
      <c r="O37" s="305"/>
    </row>
    <row r="38" spans="1:15" x14ac:dyDescent="0.2">
      <c r="A38" s="33" t="s">
        <v>440</v>
      </c>
      <c r="B38" s="96" t="s">
        <v>200</v>
      </c>
      <c r="C38" s="314">
        <v>2.1</v>
      </c>
      <c r="D38" s="314">
        <v>2.5</v>
      </c>
      <c r="E38" s="443">
        <v>2.7</v>
      </c>
      <c r="F38" s="443">
        <v>2.9</v>
      </c>
      <c r="G38" s="443">
        <v>3.1</v>
      </c>
      <c r="H38" s="443">
        <v>3.3</v>
      </c>
      <c r="I38" s="443">
        <v>3.5</v>
      </c>
      <c r="J38" s="301"/>
      <c r="K38" s="33"/>
      <c r="L38" s="33"/>
      <c r="M38" s="33"/>
      <c r="N38" s="33"/>
      <c r="O38" s="33"/>
    </row>
    <row r="39" spans="1:15" x14ac:dyDescent="0.2">
      <c r="A39" s="34" t="s">
        <v>441</v>
      </c>
      <c r="B39" s="109" t="s">
        <v>195</v>
      </c>
      <c r="C39" s="227">
        <f>C9</f>
        <v>4.4999999999999998E-2</v>
      </c>
      <c r="D39" s="227">
        <f>D9</f>
        <v>0.04</v>
      </c>
      <c r="E39" s="228">
        <v>3.6999999999999998E-2</v>
      </c>
      <c r="F39" s="228">
        <v>3.4000000000000002E-2</v>
      </c>
      <c r="G39" s="228">
        <v>3.1E-2</v>
      </c>
      <c r="H39" s="228">
        <v>2.9000000000000001E-2</v>
      </c>
      <c r="I39" s="228">
        <v>2.7E-2</v>
      </c>
      <c r="J39" s="303" t="s">
        <v>570</v>
      </c>
      <c r="K39" s="34"/>
      <c r="L39" s="34"/>
      <c r="M39" s="34"/>
      <c r="N39" s="34"/>
      <c r="O39" s="34"/>
    </row>
    <row r="40" spans="1:15" x14ac:dyDescent="0.2">
      <c r="A40" s="305" t="s">
        <v>118</v>
      </c>
      <c r="B40" s="306" t="s">
        <v>199</v>
      </c>
      <c r="C40" s="307">
        <f>'Income Statement'!H10</f>
        <v>425.113</v>
      </c>
      <c r="D40" s="307">
        <f>'Income Statement'!I10</f>
        <v>554.77499999999998</v>
      </c>
      <c r="E40" s="308">
        <f>E41+E44</f>
        <v>639</v>
      </c>
      <c r="F40" s="308">
        <f>F41+F44</f>
        <v>778</v>
      </c>
      <c r="G40" s="308">
        <f>G41+G44</f>
        <v>790</v>
      </c>
      <c r="H40" s="308">
        <f>H41+H44</f>
        <v>922</v>
      </c>
      <c r="I40" s="308">
        <f>I41+I44</f>
        <v>1062</v>
      </c>
      <c r="J40" s="309" t="s">
        <v>558</v>
      </c>
      <c r="K40" s="305"/>
      <c r="L40" s="305"/>
      <c r="M40" s="305"/>
      <c r="N40" s="305"/>
      <c r="O40" s="305"/>
    </row>
    <row r="41" spans="1:15" x14ac:dyDescent="0.2">
      <c r="A41" s="135" t="s">
        <v>493</v>
      </c>
      <c r="B41" s="201" t="s">
        <v>199</v>
      </c>
      <c r="C41" s="315">
        <v>50</v>
      </c>
      <c r="D41" s="315">
        <v>180</v>
      </c>
      <c r="E41" s="298">
        <f>E42*E43</f>
        <v>260</v>
      </c>
      <c r="F41" s="298">
        <f>F42*F43</f>
        <v>336</v>
      </c>
      <c r="G41" s="298">
        <f>G42*G43</f>
        <v>440</v>
      </c>
      <c r="H41" s="298">
        <f>H42*H43</f>
        <v>552</v>
      </c>
      <c r="I41" s="298">
        <f>I42*I43</f>
        <v>672</v>
      </c>
      <c r="J41" s="311"/>
      <c r="K41" s="135"/>
      <c r="L41" s="135"/>
      <c r="M41" s="135"/>
      <c r="N41" s="135"/>
      <c r="O41" s="135"/>
    </row>
    <row r="42" spans="1:15" x14ac:dyDescent="0.2">
      <c r="A42" s="33" t="s">
        <v>496</v>
      </c>
      <c r="B42" s="96" t="s">
        <v>374</v>
      </c>
      <c r="C42" s="256">
        <v>0.5</v>
      </c>
      <c r="D42" s="256">
        <v>0.97</v>
      </c>
      <c r="E42" s="442">
        <v>1.3</v>
      </c>
      <c r="F42" s="442">
        <v>1.6</v>
      </c>
      <c r="G42" s="442">
        <v>2</v>
      </c>
      <c r="H42" s="442">
        <v>2.4</v>
      </c>
      <c r="I42" s="442">
        <v>2.8</v>
      </c>
      <c r="J42" s="301"/>
      <c r="K42" s="33"/>
      <c r="L42" s="33"/>
      <c r="M42" s="33"/>
      <c r="N42" s="33"/>
      <c r="O42" s="33"/>
    </row>
    <row r="43" spans="1:15" x14ac:dyDescent="0.2">
      <c r="A43" s="34" t="s">
        <v>497</v>
      </c>
      <c r="B43" s="109" t="s">
        <v>492</v>
      </c>
      <c r="C43" s="262">
        <v>100</v>
      </c>
      <c r="D43" s="262">
        <v>185</v>
      </c>
      <c r="E43" s="178">
        <v>200</v>
      </c>
      <c r="F43" s="178">
        <v>210</v>
      </c>
      <c r="G43" s="178">
        <v>220</v>
      </c>
      <c r="H43" s="178">
        <v>230</v>
      </c>
      <c r="I43" s="178">
        <v>240</v>
      </c>
      <c r="J43" s="303"/>
      <c r="K43" s="34"/>
      <c r="L43" s="34"/>
      <c r="M43" s="34"/>
      <c r="N43" s="34"/>
      <c r="O43" s="34"/>
    </row>
    <row r="44" spans="1:15" x14ac:dyDescent="0.2">
      <c r="A44" s="33" t="s">
        <v>494</v>
      </c>
      <c r="B44" s="96" t="s">
        <v>199</v>
      </c>
      <c r="C44" s="256">
        <f>'Income Statement'!H10-C41</f>
        <v>375.113</v>
      </c>
      <c r="D44" s="256">
        <f>'Income Statement'!I10-D41</f>
        <v>374.77499999999998</v>
      </c>
      <c r="E44" s="442">
        <v>379</v>
      </c>
      <c r="F44" s="442">
        <v>442</v>
      </c>
      <c r="G44" s="442">
        <v>350</v>
      </c>
      <c r="H44" s="442">
        <v>370</v>
      </c>
      <c r="I44" s="442">
        <v>390</v>
      </c>
      <c r="J44" s="301" t="s">
        <v>495</v>
      </c>
      <c r="K44" s="33"/>
      <c r="L44" s="33"/>
      <c r="M44" s="33"/>
      <c r="N44" s="33"/>
      <c r="O44" s="33"/>
    </row>
    <row r="45" spans="1:15" x14ac:dyDescent="0.2">
      <c r="A45" s="305" t="s">
        <v>119</v>
      </c>
      <c r="B45" s="306" t="s">
        <v>199</v>
      </c>
      <c r="C45" s="307">
        <f>'Income Statement'!H11</f>
        <v>265.79899999999998</v>
      </c>
      <c r="D45" s="307">
        <f>'Income Statement'!I11</f>
        <v>247.047</v>
      </c>
      <c r="E45" s="308">
        <f>E46*E47*1000</f>
        <v>363.74999999999994</v>
      </c>
      <c r="F45" s="308">
        <f>F46*F47*1000</f>
        <v>247</v>
      </c>
      <c r="G45" s="308">
        <f>G46*G47*1000</f>
        <v>225.49999999999997</v>
      </c>
      <c r="H45" s="308">
        <f>H46*H47*1000</f>
        <v>205</v>
      </c>
      <c r="I45" s="308">
        <f>I46*I47*1000</f>
        <v>184.49999999999997</v>
      </c>
      <c r="J45" s="309" t="s">
        <v>571</v>
      </c>
      <c r="K45" s="305"/>
      <c r="L45" s="305"/>
      <c r="M45" s="305"/>
      <c r="N45" s="305"/>
      <c r="O45" s="305"/>
    </row>
    <row r="46" spans="1:15" x14ac:dyDescent="0.2">
      <c r="A46" s="34" t="s">
        <v>489</v>
      </c>
      <c r="B46" s="109" t="s">
        <v>416</v>
      </c>
      <c r="C46" s="302">
        <v>5.0999999999999996</v>
      </c>
      <c r="D46" s="302">
        <v>5.7</v>
      </c>
      <c r="E46" s="441">
        <v>9.6999999999999993</v>
      </c>
      <c r="F46" s="441">
        <v>7.6</v>
      </c>
      <c r="G46" s="441">
        <v>8.1999999999999993</v>
      </c>
      <c r="H46" s="441">
        <v>8.1999999999999993</v>
      </c>
      <c r="I46" s="441">
        <v>8.1999999999999993</v>
      </c>
      <c r="J46" s="303" t="s">
        <v>572</v>
      </c>
      <c r="K46" s="34"/>
      <c r="L46" s="34"/>
      <c r="M46" s="34"/>
      <c r="N46" s="34"/>
      <c r="O46" s="34"/>
    </row>
    <row r="47" spans="1:15" x14ac:dyDescent="0.2">
      <c r="A47" s="33" t="s">
        <v>490</v>
      </c>
      <c r="B47" s="96" t="s">
        <v>195</v>
      </c>
      <c r="C47" s="243">
        <f t="shared" ref="C47:I47" si="2">C5</f>
        <v>5.2499999999999998E-2</v>
      </c>
      <c r="D47" s="243">
        <f t="shared" si="2"/>
        <v>4.3299999999999998E-2</v>
      </c>
      <c r="E47" s="243">
        <f t="shared" si="2"/>
        <v>3.7499999999999999E-2</v>
      </c>
      <c r="F47" s="243">
        <f t="shared" si="2"/>
        <v>3.2500000000000001E-2</v>
      </c>
      <c r="G47" s="243">
        <f t="shared" si="2"/>
        <v>2.75E-2</v>
      </c>
      <c r="H47" s="243">
        <f t="shared" si="2"/>
        <v>2.5000000000000001E-2</v>
      </c>
      <c r="I47" s="243">
        <f t="shared" si="2"/>
        <v>2.2499999999999999E-2</v>
      </c>
      <c r="J47" s="301" t="s">
        <v>491</v>
      </c>
      <c r="K47" s="33"/>
      <c r="L47" s="33"/>
      <c r="M47" s="33"/>
      <c r="N47" s="33"/>
      <c r="O47" s="33"/>
    </row>
    <row r="48" spans="1:15" x14ac:dyDescent="0.2">
      <c r="A48" s="305" t="s">
        <v>594</v>
      </c>
      <c r="B48" s="306" t="s">
        <v>199</v>
      </c>
      <c r="C48" s="307">
        <f>'Income Statement'!H12</f>
        <v>270.78199999999998</v>
      </c>
      <c r="D48" s="307">
        <f>'Income Statement'!I12</f>
        <v>297.887</v>
      </c>
      <c r="E48" s="508">
        <v>320</v>
      </c>
      <c r="F48" s="508">
        <v>375</v>
      </c>
      <c r="G48" s="508">
        <v>450</v>
      </c>
      <c r="H48" s="508">
        <v>500</v>
      </c>
      <c r="I48" s="508">
        <v>550</v>
      </c>
      <c r="J48" s="309"/>
      <c r="K48" s="305"/>
      <c r="L48" s="305"/>
      <c r="M48" s="305"/>
      <c r="N48" s="305"/>
      <c r="O48" s="305"/>
    </row>
    <row r="49" spans="1:15" x14ac:dyDescent="0.2">
      <c r="A49" s="15"/>
      <c r="B49" s="200"/>
      <c r="C49" s="316"/>
      <c r="D49" s="316"/>
      <c r="E49" s="316"/>
      <c r="F49" s="316"/>
      <c r="G49" s="316"/>
      <c r="H49" s="316"/>
      <c r="I49" s="316"/>
      <c r="J49" s="15"/>
      <c r="K49" s="15"/>
      <c r="L49" s="15"/>
      <c r="M49" s="15"/>
      <c r="N49" s="15"/>
      <c r="O49" s="15"/>
    </row>
    <row r="50" spans="1:15" x14ac:dyDescent="0.2">
      <c r="A50" s="146" t="s">
        <v>443</v>
      </c>
      <c r="B50" s="317"/>
      <c r="C50" s="318"/>
      <c r="D50" s="318"/>
      <c r="E50" s="318"/>
      <c r="F50" s="318"/>
      <c r="G50" s="318"/>
      <c r="H50" s="318"/>
      <c r="I50" s="318"/>
      <c r="J50" s="146"/>
      <c r="K50" s="146"/>
      <c r="L50" s="146"/>
      <c r="M50" s="146"/>
      <c r="N50" s="146"/>
      <c r="O50" s="146"/>
    </row>
    <row r="51" spans="1:15" x14ac:dyDescent="0.2">
      <c r="A51" s="132" t="s">
        <v>444</v>
      </c>
      <c r="B51" s="96" t="s">
        <v>195</v>
      </c>
      <c r="C51" s="321">
        <f>'Income Statement'!H18</f>
        <v>0.87295681858761121</v>
      </c>
      <c r="D51" s="321">
        <f>'Income Statement'!I18</f>
        <v>0.8054592989455287</v>
      </c>
      <c r="E51" s="446">
        <v>0.86</v>
      </c>
      <c r="F51" s="446">
        <v>0.86299999999999999</v>
      </c>
      <c r="G51" s="446">
        <v>0.86599999999999999</v>
      </c>
      <c r="H51" s="446">
        <v>0.86799999999999999</v>
      </c>
      <c r="I51" s="446">
        <v>0.87</v>
      </c>
      <c r="J51" s="301"/>
      <c r="K51" s="132"/>
      <c r="L51" s="132"/>
      <c r="M51" s="132"/>
      <c r="N51" s="132"/>
      <c r="O51" s="132"/>
    </row>
    <row r="52" spans="1:15" x14ac:dyDescent="0.2">
      <c r="A52" s="320" t="s">
        <v>445</v>
      </c>
      <c r="B52" s="109" t="s">
        <v>195</v>
      </c>
      <c r="C52" s="322">
        <f>IF('Income Statement'!H13=0,0,'Income Statement'!H21/'Income Statement'!H13)</f>
        <v>9.9701585672699738E-2</v>
      </c>
      <c r="D52" s="322">
        <f>IF('Income Statement'!I13=0,0,'Income Statement'!I21/'Income Statement'!I13)</f>
        <v>0.14740692003216679</v>
      </c>
      <c r="E52" s="447">
        <v>0.156</v>
      </c>
      <c r="F52" s="447">
        <v>0.14699999999999999</v>
      </c>
      <c r="G52" s="447">
        <v>0.14000000000000001</v>
      </c>
      <c r="H52" s="447">
        <v>0.13500000000000001</v>
      </c>
      <c r="I52" s="447">
        <v>0.13</v>
      </c>
      <c r="J52" s="303"/>
      <c r="K52" s="320"/>
      <c r="L52" s="320"/>
      <c r="M52" s="320"/>
      <c r="N52" s="320"/>
      <c r="O52" s="320"/>
    </row>
    <row r="53" spans="1:15" x14ac:dyDescent="0.2">
      <c r="A53" s="132" t="s">
        <v>446</v>
      </c>
      <c r="B53" s="96" t="s">
        <v>195</v>
      </c>
      <c r="C53" s="321">
        <f>IF('Income Statement'!H13=0,0,'Income Statement'!H22/'Income Statement'!H13)</f>
        <v>0.22368155650768093</v>
      </c>
      <c r="D53" s="321">
        <f>IF('Income Statement'!I13=0,0,'Income Statement'!I22/'Income Statement'!I13)</f>
        <v>0.2326318611119815</v>
      </c>
      <c r="E53" s="446">
        <v>0.23</v>
      </c>
      <c r="F53" s="446">
        <v>0.22</v>
      </c>
      <c r="G53" s="446">
        <v>0.19</v>
      </c>
      <c r="H53" s="446">
        <v>0.19</v>
      </c>
      <c r="I53" s="446">
        <v>0.19</v>
      </c>
      <c r="J53" s="301" t="s">
        <v>573</v>
      </c>
      <c r="K53" s="132"/>
      <c r="L53" s="132"/>
      <c r="M53" s="132"/>
      <c r="N53" s="132"/>
      <c r="O53" s="132"/>
    </row>
    <row r="54" spans="1:15" x14ac:dyDescent="0.2">
      <c r="A54" s="320" t="s">
        <v>447</v>
      </c>
      <c r="B54" s="109" t="s">
        <v>195</v>
      </c>
      <c r="C54" s="322">
        <f>IF('Income Statement'!H13=0,0,'Income Statement'!H23/'Income Statement'!H13)</f>
        <v>0.19808827750277727</v>
      </c>
      <c r="D54" s="322">
        <f>IF('Income Statement'!I13=0,0,'Income Statement'!I23/'Income Statement'!I13)</f>
        <v>0.22553525985803463</v>
      </c>
      <c r="E54" s="447">
        <v>0.25</v>
      </c>
      <c r="F54" s="447">
        <v>0.22</v>
      </c>
      <c r="G54" s="447">
        <v>0.2</v>
      </c>
      <c r="H54" s="447">
        <v>0.19</v>
      </c>
      <c r="I54" s="447">
        <v>0.18</v>
      </c>
      <c r="J54" s="303" t="s">
        <v>584</v>
      </c>
      <c r="K54" s="320"/>
      <c r="L54" s="320"/>
      <c r="M54" s="320"/>
      <c r="N54" s="320"/>
      <c r="O54" s="320"/>
    </row>
    <row r="55" spans="1:15" x14ac:dyDescent="0.2">
      <c r="A55" s="132" t="s">
        <v>448</v>
      </c>
      <c r="B55" s="96" t="s">
        <v>195</v>
      </c>
      <c r="C55" s="321">
        <f>IF('Income Statement'!H13=0,0,'Income Statement'!H45/'Income Statement'!H13)</f>
        <v>0.13906674377379255</v>
      </c>
      <c r="D55" s="321">
        <f>IF('Income Statement'!I13=0,0,'Income Statement'!I45/'Income Statement'!I13)</f>
        <v>0.11689207771546341</v>
      </c>
      <c r="E55" s="446">
        <v>0.108</v>
      </c>
      <c r="F55" s="446">
        <v>9.8000000000000004E-2</v>
      </c>
      <c r="G55" s="446">
        <v>0.09</v>
      </c>
      <c r="H55" s="446">
        <v>8.5000000000000006E-2</v>
      </c>
      <c r="I55" s="446">
        <v>0.08</v>
      </c>
      <c r="J55" s="301"/>
      <c r="K55" s="132"/>
      <c r="L55" s="132"/>
      <c r="M55" s="132"/>
      <c r="N55" s="132"/>
      <c r="O55" s="132"/>
    </row>
    <row r="56" spans="1:15" x14ac:dyDescent="0.2">
      <c r="A56" s="15"/>
      <c r="B56" s="200"/>
      <c r="C56" s="319"/>
      <c r="D56" s="319"/>
      <c r="E56" s="319"/>
      <c r="F56" s="319"/>
      <c r="G56" s="319"/>
      <c r="H56" s="319"/>
      <c r="I56" s="319"/>
      <c r="J56" s="15"/>
      <c r="K56" s="15"/>
      <c r="L56" s="15"/>
      <c r="M56" s="15"/>
      <c r="N56" s="15"/>
      <c r="O56" s="15"/>
    </row>
    <row r="57" spans="1:15" x14ac:dyDescent="0.2">
      <c r="A57" s="151" t="s">
        <v>449</v>
      </c>
      <c r="B57" s="379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  <c r="N57" s="380"/>
      <c r="O57" s="380"/>
    </row>
    <row r="58" spans="1:15" x14ac:dyDescent="0.2">
      <c r="A58" s="161" t="s">
        <v>450</v>
      </c>
      <c r="B58" s="323" t="s">
        <v>199</v>
      </c>
      <c r="C58" s="381">
        <f>'Income Statement'!H28</f>
        <v>100.5</v>
      </c>
      <c r="D58" s="381">
        <f>'Income Statement'!I28</f>
        <v>121.3</v>
      </c>
      <c r="E58" s="381">
        <f>'Balance Sheet'!I14*E59</f>
        <v>223.3</v>
      </c>
      <c r="F58" s="381">
        <f>MAX('Balance Sheet'!I14+E89-E58,0)*F59</f>
        <v>194.62147100000004</v>
      </c>
      <c r="G58" s="381">
        <f>MAX('Balance Sheet'!I14+E89-E58+F89-F58,0)*G59</f>
        <v>200.27466195000002</v>
      </c>
      <c r="H58" s="381">
        <f>MAX('Balance Sheet'!I14+E89-E58+F89-F58+G89-G58,0)*H59</f>
        <v>214.83994787750007</v>
      </c>
      <c r="I58" s="381">
        <f>MAX('Balance Sheet'!I14+E89-E58+F89-F58+G89-G58+H89-H58,0)*I59</f>
        <v>237.07977654487499</v>
      </c>
      <c r="J58" s="382"/>
      <c r="K58" s="161"/>
      <c r="L58" s="161"/>
      <c r="M58" s="161"/>
      <c r="N58" s="161"/>
      <c r="O58" s="161"/>
    </row>
    <row r="59" spans="1:15" x14ac:dyDescent="0.2">
      <c r="A59" s="162" t="s">
        <v>498</v>
      </c>
      <c r="B59" s="383" t="s">
        <v>195</v>
      </c>
      <c r="C59" s="384">
        <f>IFERROR(C58/'Balance Sheet'!G14,"—")</f>
        <v>0.52072538860103623</v>
      </c>
      <c r="D59" s="384">
        <f>IFERROR(D58/'Balance Sheet'!H14,"—")</f>
        <v>0.60650000000000004</v>
      </c>
      <c r="E59" s="448">
        <v>0.55000000000000004</v>
      </c>
      <c r="F59" s="448">
        <v>0.55000000000000004</v>
      </c>
      <c r="G59" s="448">
        <v>0.55000000000000004</v>
      </c>
      <c r="H59" s="448">
        <v>0.55000000000000004</v>
      </c>
      <c r="I59" s="448">
        <v>0.55000000000000004</v>
      </c>
      <c r="J59" s="385"/>
      <c r="K59" s="162"/>
      <c r="L59" s="162"/>
      <c r="M59" s="162"/>
      <c r="N59" s="162"/>
      <c r="O59" s="162"/>
    </row>
    <row r="60" spans="1:15" x14ac:dyDescent="0.2">
      <c r="A60" s="161" t="s">
        <v>451</v>
      </c>
      <c r="B60" s="323" t="s">
        <v>199</v>
      </c>
      <c r="C60" s="381">
        <f>'Income Statement'!H29</f>
        <v>0</v>
      </c>
      <c r="D60" s="381">
        <f>'Income Statement'!I29</f>
        <v>67.126000000000005</v>
      </c>
      <c r="E60" s="381">
        <f>'Deribit Acquisition'!D34</f>
        <v>194.10000000000002</v>
      </c>
      <c r="F60" s="381">
        <f>'Deribit Acquisition'!E34</f>
        <v>194.10000000000002</v>
      </c>
      <c r="G60" s="381">
        <f>'Deribit Acquisition'!F34</f>
        <v>194.10000000000002</v>
      </c>
      <c r="H60" s="381">
        <f>'Deribit Acquisition'!G34</f>
        <v>180.8</v>
      </c>
      <c r="I60" s="381">
        <f>'Deribit Acquisition'!H34</f>
        <v>180.8</v>
      </c>
      <c r="J60" s="382" t="s">
        <v>574</v>
      </c>
      <c r="K60" s="161"/>
      <c r="L60" s="161"/>
      <c r="M60" s="161"/>
      <c r="N60" s="161"/>
      <c r="O60" s="161"/>
    </row>
    <row r="61" spans="1:15" x14ac:dyDescent="0.2">
      <c r="A61" s="162" t="s">
        <v>452</v>
      </c>
      <c r="B61" s="383" t="s">
        <v>199</v>
      </c>
      <c r="C61" s="386">
        <f>'Income Statement'!H30</f>
        <v>27</v>
      </c>
      <c r="D61" s="386">
        <f>'Income Statement'!I30</f>
        <v>0</v>
      </c>
      <c r="E61" s="449">
        <v>10</v>
      </c>
      <c r="F61" s="449">
        <v>8</v>
      </c>
      <c r="G61" s="449">
        <v>6</v>
      </c>
      <c r="H61" s="449">
        <v>4</v>
      </c>
      <c r="I61" s="449">
        <v>2</v>
      </c>
      <c r="J61" s="385" t="s">
        <v>575</v>
      </c>
      <c r="K61" s="162"/>
      <c r="L61" s="162"/>
      <c r="M61" s="162"/>
      <c r="N61" s="162"/>
      <c r="O61" s="162"/>
    </row>
    <row r="62" spans="1:15" x14ac:dyDescent="0.2">
      <c r="A62" s="324" t="s">
        <v>453</v>
      </c>
      <c r="B62" s="325" t="s">
        <v>199</v>
      </c>
      <c r="C62" s="328">
        <f t="shared" ref="C62:I62" si="3">C58+C60+C61</f>
        <v>127.5</v>
      </c>
      <c r="D62" s="328">
        <f t="shared" si="3"/>
        <v>188.42599999999999</v>
      </c>
      <c r="E62" s="328">
        <f t="shared" si="3"/>
        <v>427.40000000000003</v>
      </c>
      <c r="F62" s="328">
        <f t="shared" si="3"/>
        <v>396.72147100000007</v>
      </c>
      <c r="G62" s="328">
        <f t="shared" si="3"/>
        <v>400.37466195000002</v>
      </c>
      <c r="H62" s="328">
        <f t="shared" si="3"/>
        <v>399.63994787750005</v>
      </c>
      <c r="I62" s="328">
        <f t="shared" si="3"/>
        <v>419.87977654487497</v>
      </c>
      <c r="J62" s="327" t="s">
        <v>510</v>
      </c>
      <c r="K62" s="330"/>
      <c r="L62" s="330"/>
      <c r="M62" s="330"/>
      <c r="N62" s="330"/>
      <c r="O62" s="330"/>
    </row>
    <row r="63" spans="1:15" x14ac:dyDescent="0.2">
      <c r="A63" s="387"/>
      <c r="B63" s="38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151" t="s">
        <v>454</v>
      </c>
      <c r="B64" s="379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0"/>
      <c r="N64" s="380"/>
      <c r="O64" s="380"/>
    </row>
    <row r="65" spans="1:15" x14ac:dyDescent="0.2">
      <c r="A65" s="161" t="s">
        <v>30</v>
      </c>
      <c r="B65" s="323" t="s">
        <v>199</v>
      </c>
      <c r="C65" s="381">
        <f>'Income Statement'!H24</f>
        <v>0</v>
      </c>
      <c r="D65" s="381">
        <f>'Income Statement'!I24</f>
        <v>0</v>
      </c>
      <c r="E65" s="450">
        <v>46</v>
      </c>
      <c r="F65" s="450">
        <v>13</v>
      </c>
      <c r="G65" s="450">
        <v>0</v>
      </c>
      <c r="H65" s="450">
        <v>0</v>
      </c>
      <c r="I65" s="450">
        <v>0</v>
      </c>
      <c r="J65" s="382"/>
      <c r="K65" s="161"/>
      <c r="L65" s="161"/>
      <c r="M65" s="161"/>
      <c r="N65" s="161"/>
      <c r="O65" s="161"/>
    </row>
    <row r="66" spans="1:15" x14ac:dyDescent="0.2">
      <c r="A66" s="162" t="s">
        <v>39</v>
      </c>
      <c r="B66" s="109" t="s">
        <v>195</v>
      </c>
      <c r="C66" s="386">
        <f>'Income Statement'!H37</f>
        <v>80.644999999999996</v>
      </c>
      <c r="D66" s="386">
        <f>'Income Statement'!I37</f>
        <v>85.412999999999997</v>
      </c>
      <c r="E66" s="479">
        <v>0.03</v>
      </c>
      <c r="F66" s="479">
        <v>0.03</v>
      </c>
      <c r="G66" s="479">
        <v>0.03</v>
      </c>
      <c r="H66" s="479">
        <v>0.03</v>
      </c>
      <c r="I66" s="479">
        <v>0.03</v>
      </c>
      <c r="J66" s="385" t="s">
        <v>583</v>
      </c>
      <c r="K66" s="162"/>
      <c r="L66" s="162"/>
      <c r="M66" s="162"/>
      <c r="N66" s="162"/>
      <c r="O66" s="162"/>
    </row>
    <row r="67" spans="1:15" x14ac:dyDescent="0.2">
      <c r="A67" s="324" t="s">
        <v>455</v>
      </c>
      <c r="B67" s="325" t="s">
        <v>195</v>
      </c>
      <c r="C67" s="329">
        <f>'Supporting Schedules'!H49</f>
        <v>0.12355487106153512</v>
      </c>
      <c r="D67" s="329">
        <f>'Supporting Schedules'!I49</f>
        <v>0.17196243261621569</v>
      </c>
      <c r="E67" s="451">
        <v>0.21</v>
      </c>
      <c r="F67" s="451">
        <v>0.21</v>
      </c>
      <c r="G67" s="451">
        <v>0.21</v>
      </c>
      <c r="H67" s="451">
        <v>0.21</v>
      </c>
      <c r="I67" s="451">
        <v>0.21</v>
      </c>
      <c r="J67" s="327"/>
      <c r="K67" s="330"/>
      <c r="L67" s="330"/>
      <c r="M67" s="330"/>
      <c r="N67" s="330"/>
      <c r="O67" s="330"/>
    </row>
    <row r="68" spans="1:15" x14ac:dyDescent="0.2">
      <c r="A68" s="526"/>
      <c r="B68" s="527"/>
      <c r="C68" s="528"/>
      <c r="D68" s="528"/>
      <c r="E68" s="529"/>
      <c r="F68" s="529"/>
      <c r="G68" s="529"/>
      <c r="H68" s="529"/>
      <c r="I68" s="529"/>
      <c r="J68" s="530"/>
      <c r="K68" s="531"/>
      <c r="L68" s="531"/>
      <c r="M68" s="531"/>
      <c r="N68" s="531"/>
      <c r="O68" s="531"/>
    </row>
    <row r="69" spans="1:15" x14ac:dyDescent="0.2">
      <c r="A69" s="151" t="s">
        <v>149</v>
      </c>
      <c r="B69" s="379"/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</row>
    <row r="70" spans="1:15" x14ac:dyDescent="0.2">
      <c r="A70" s="151" t="s">
        <v>456</v>
      </c>
      <c r="B70" s="379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</row>
    <row r="71" spans="1:15" x14ac:dyDescent="0.2">
      <c r="A71" s="161" t="s">
        <v>183</v>
      </c>
      <c r="B71" s="323" t="s">
        <v>201</v>
      </c>
      <c r="C71" s="389">
        <f>IF('Income Statement'!H13=0,0,'Balance Sheet'!H8/('Income Statement'!H13/365))</f>
        <v>14.735616606144886</v>
      </c>
      <c r="D71" s="389">
        <f>IF('Income Statement'!I13=0,0,'Balance Sheet'!I8/('Income Statement'!I13/365))</f>
        <v>15.603666454310318</v>
      </c>
      <c r="E71" s="452">
        <v>15</v>
      </c>
      <c r="F71" s="452">
        <v>14</v>
      </c>
      <c r="G71" s="452">
        <v>13</v>
      </c>
      <c r="H71" s="452">
        <v>12</v>
      </c>
      <c r="I71" s="452">
        <v>12</v>
      </c>
      <c r="J71" s="382" t="s">
        <v>559</v>
      </c>
      <c r="K71" s="161"/>
      <c r="L71" s="161"/>
      <c r="M71" s="161"/>
      <c r="N71" s="161"/>
      <c r="O71" s="161"/>
    </row>
    <row r="72" spans="1:15" x14ac:dyDescent="0.2">
      <c r="A72" s="324" t="s">
        <v>457</v>
      </c>
      <c r="B72" s="325" t="s">
        <v>199</v>
      </c>
      <c r="C72" s="326">
        <f>'Balance Sheet'!H26</f>
        <v>63</v>
      </c>
      <c r="D72" s="326">
        <f>'Balance Sheet'!I26</f>
        <v>118</v>
      </c>
      <c r="E72" s="326">
        <f>'Income Statement'!J16/365*E73</f>
        <v>55.801942958904114</v>
      </c>
      <c r="F72" s="326">
        <f>'Income Statement'!K16/365*F73</f>
        <v>61.526136986301374</v>
      </c>
      <c r="G72" s="326">
        <f>'Income Statement'!L16/365*G73</f>
        <v>62.435831506849325</v>
      </c>
      <c r="H72" s="326">
        <f>'Income Statement'!M16/365*H73</f>
        <v>64.623294246575341</v>
      </c>
      <c r="I72" s="326">
        <f>'Income Statement'!N16/365*I73</f>
        <v>72.878534246575342</v>
      </c>
      <c r="J72" s="327" t="s">
        <v>512</v>
      </c>
      <c r="K72" s="330"/>
      <c r="L72" s="330"/>
      <c r="M72" s="330"/>
      <c r="N72" s="330"/>
      <c r="O72" s="330"/>
    </row>
    <row r="73" spans="1:15" x14ac:dyDescent="0.2">
      <c r="A73" s="162" t="s">
        <v>184</v>
      </c>
      <c r="B73" s="383" t="s">
        <v>201</v>
      </c>
      <c r="C73" s="390">
        <f>IF('Income Statement'!H16=0,0,'Balance Sheet'!H26/('Income Statement'!H16/365))</f>
        <v>27.574752822529874</v>
      </c>
      <c r="D73" s="390">
        <f>IF('Income Statement'!I16=0,0,'Balance Sheet'!I26/('Income Statement'!I16/365))</f>
        <v>30.829026670293331</v>
      </c>
      <c r="E73" s="453">
        <v>17</v>
      </c>
      <c r="F73" s="453">
        <v>16</v>
      </c>
      <c r="G73" s="453">
        <v>15</v>
      </c>
      <c r="H73" s="453">
        <v>14</v>
      </c>
      <c r="I73" s="453">
        <v>14</v>
      </c>
      <c r="J73" s="385" t="s">
        <v>511</v>
      </c>
      <c r="K73" s="162"/>
      <c r="L73" s="162"/>
      <c r="M73" s="162"/>
      <c r="N73" s="162"/>
      <c r="O73" s="162"/>
    </row>
    <row r="74" spans="1:15" x14ac:dyDescent="0.2">
      <c r="A74" s="324" t="s">
        <v>458</v>
      </c>
      <c r="B74" s="325" t="s">
        <v>199</v>
      </c>
      <c r="C74" s="326">
        <f>'Balance Sheet'!H27</f>
        <v>627</v>
      </c>
      <c r="D74" s="326">
        <f>'Balance Sheet'!I27</f>
        <v>687</v>
      </c>
      <c r="E74" s="326">
        <f>'Income Statement'!J25*E75</f>
        <v>816.4244394000001</v>
      </c>
      <c r="F74" s="326">
        <f>'Income Statement'!K25*F75</f>
        <v>872.00752499999999</v>
      </c>
      <c r="G74" s="326">
        <f>'Income Statement'!L25*G75</f>
        <v>841.27266999999995</v>
      </c>
      <c r="H74" s="326">
        <f>'Income Statement'!M25*H75</f>
        <v>920.27418</v>
      </c>
      <c r="I74" s="326">
        <f>'Income Statement'!N25*I75</f>
        <v>1023.1067</v>
      </c>
      <c r="J74" s="327" t="s">
        <v>513</v>
      </c>
      <c r="K74" s="330"/>
      <c r="L74" s="330"/>
      <c r="M74" s="330"/>
      <c r="N74" s="330"/>
      <c r="O74" s="330"/>
    </row>
    <row r="75" spans="1:15" x14ac:dyDescent="0.2">
      <c r="A75" s="161" t="s">
        <v>500</v>
      </c>
      <c r="B75" s="323" t="s">
        <v>195</v>
      </c>
      <c r="C75" s="391">
        <f>IFERROR(C74/'Income Statement'!H25,"—")</f>
        <v>0.18317517067865086</v>
      </c>
      <c r="D75" s="391">
        <f>IFERROR(D74/'Income Statement'!I25,"—")</f>
        <v>0.15797374186676674</v>
      </c>
      <c r="E75" s="454">
        <v>0.15</v>
      </c>
      <c r="F75" s="454">
        <v>0.14499999999999999</v>
      </c>
      <c r="G75" s="454">
        <v>0.14000000000000001</v>
      </c>
      <c r="H75" s="454">
        <v>0.14000000000000001</v>
      </c>
      <c r="I75" s="454">
        <v>0.14000000000000001</v>
      </c>
      <c r="J75" s="382" t="s">
        <v>576</v>
      </c>
      <c r="K75" s="161"/>
      <c r="L75" s="161"/>
      <c r="M75" s="161"/>
      <c r="N75" s="161"/>
      <c r="O75" s="161"/>
    </row>
    <row r="76" spans="1:15" x14ac:dyDescent="0.2">
      <c r="A76" s="387"/>
      <c r="B76" s="38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151" t="s">
        <v>501</v>
      </c>
      <c r="B77" s="379"/>
      <c r="C77" s="380"/>
      <c r="D77" s="380"/>
      <c r="E77" s="380"/>
      <c r="F77" s="380"/>
      <c r="G77" s="380"/>
      <c r="H77" s="380"/>
      <c r="I77" s="380"/>
      <c r="J77" s="380"/>
      <c r="K77" s="380"/>
      <c r="L77" s="380"/>
      <c r="M77" s="380"/>
      <c r="N77" s="380"/>
      <c r="O77" s="380"/>
    </row>
    <row r="78" spans="1:15" x14ac:dyDescent="0.2">
      <c r="A78" s="161" t="s">
        <v>502</v>
      </c>
      <c r="B78" s="323" t="s">
        <v>199</v>
      </c>
      <c r="C78" s="381">
        <f>'Balance Sheet'!H7</f>
        <v>248</v>
      </c>
      <c r="D78" s="381">
        <f>'Balance Sheet'!I7</f>
        <v>365</v>
      </c>
      <c r="E78" s="450">
        <v>365</v>
      </c>
      <c r="F78" s="450">
        <v>365</v>
      </c>
      <c r="G78" s="450">
        <v>365</v>
      </c>
      <c r="H78" s="450">
        <v>365</v>
      </c>
      <c r="I78" s="450">
        <v>365</v>
      </c>
      <c r="J78" s="382" t="s">
        <v>514</v>
      </c>
      <c r="K78" s="161"/>
      <c r="L78" s="161"/>
      <c r="M78" s="161"/>
      <c r="N78" s="161"/>
      <c r="O78" s="161"/>
    </row>
    <row r="79" spans="1:15" x14ac:dyDescent="0.2">
      <c r="A79" s="162" t="s">
        <v>503</v>
      </c>
      <c r="B79" s="383" t="s">
        <v>195</v>
      </c>
      <c r="C79" s="384">
        <f>'Balance Sheet'!J9/'Balance Sheet'!I9-1</f>
        <v>2.4999999999999911E-2</v>
      </c>
      <c r="D79" s="384">
        <f>'Balance Sheet'!K9/'Balance Sheet'!J9-1</f>
        <v>5.0000000000000044E-2</v>
      </c>
      <c r="E79" s="384">
        <v>2.5000000000000001E-2</v>
      </c>
      <c r="F79" s="384">
        <v>0.05</v>
      </c>
      <c r="G79" s="448">
        <v>0.05</v>
      </c>
      <c r="H79" s="448">
        <v>0.05</v>
      </c>
      <c r="I79" s="448">
        <v>0.05</v>
      </c>
      <c r="J79" s="385" t="s">
        <v>577</v>
      </c>
      <c r="K79" s="162"/>
      <c r="L79" s="162"/>
      <c r="M79" s="162"/>
      <c r="N79" s="162"/>
      <c r="O79" s="162"/>
    </row>
    <row r="80" spans="1:15" x14ac:dyDescent="0.2">
      <c r="A80" s="161" t="s">
        <v>504</v>
      </c>
      <c r="B80" s="323" t="s">
        <v>199</v>
      </c>
      <c r="C80" s="381">
        <f>'Balance Sheet'!H10</f>
        <v>2105</v>
      </c>
      <c r="D80" s="381">
        <f>'Balance Sheet'!I10</f>
        <v>2257</v>
      </c>
      <c r="E80" s="450">
        <v>2200</v>
      </c>
      <c r="F80" s="450">
        <v>2200</v>
      </c>
      <c r="G80" s="450">
        <v>2200</v>
      </c>
      <c r="H80" s="450">
        <v>2200</v>
      </c>
      <c r="I80" s="450">
        <v>2200</v>
      </c>
      <c r="J80" s="382" t="s">
        <v>578</v>
      </c>
      <c r="K80" s="161"/>
      <c r="L80" s="161"/>
      <c r="M80" s="161"/>
      <c r="N80" s="161"/>
      <c r="O80" s="161"/>
    </row>
    <row r="81" spans="1:15" x14ac:dyDescent="0.2">
      <c r="A81" s="387"/>
      <c r="B81" s="38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151" t="s">
        <v>459</v>
      </c>
      <c r="B82" s="379"/>
      <c r="C82" s="380"/>
      <c r="D82" s="380"/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</row>
    <row r="83" spans="1:15" x14ac:dyDescent="0.2">
      <c r="A83" s="161" t="s">
        <v>505</v>
      </c>
      <c r="B83" s="323" t="s">
        <v>199</v>
      </c>
      <c r="C83" s="381">
        <f>'Balance Sheet'!H15</f>
        <v>1140</v>
      </c>
      <c r="D83" s="381">
        <f>'Balance Sheet'!I15</f>
        <v>4169</v>
      </c>
      <c r="E83" s="450">
        <v>4169</v>
      </c>
      <c r="F83" s="450">
        <v>4169</v>
      </c>
      <c r="G83" s="450">
        <v>4169</v>
      </c>
      <c r="H83" s="450">
        <v>4169</v>
      </c>
      <c r="I83" s="450">
        <v>4169</v>
      </c>
      <c r="J83" s="382" t="s">
        <v>515</v>
      </c>
      <c r="K83" s="161"/>
      <c r="L83" s="161"/>
      <c r="M83" s="161"/>
      <c r="N83" s="161"/>
      <c r="O83" s="161"/>
    </row>
    <row r="84" spans="1:15" x14ac:dyDescent="0.2">
      <c r="A84" s="162" t="s">
        <v>506</v>
      </c>
      <c r="B84" s="383" t="s">
        <v>199</v>
      </c>
      <c r="C84" s="386">
        <f>'Balance Sheet'!H18</f>
        <v>0</v>
      </c>
      <c r="D84" s="386">
        <f>'Balance Sheet'!I18</f>
        <v>623</v>
      </c>
      <c r="E84" s="449">
        <v>1900</v>
      </c>
      <c r="F84" s="449">
        <v>1900</v>
      </c>
      <c r="G84" s="449">
        <v>1900</v>
      </c>
      <c r="H84" s="449">
        <v>1900</v>
      </c>
      <c r="I84" s="449">
        <v>1900</v>
      </c>
      <c r="J84" s="385" t="s">
        <v>516</v>
      </c>
      <c r="K84" s="162"/>
      <c r="L84" s="162"/>
      <c r="M84" s="162"/>
      <c r="N84" s="162"/>
      <c r="O84" s="162"/>
    </row>
    <row r="85" spans="1:15" x14ac:dyDescent="0.2">
      <c r="A85" s="161" t="s">
        <v>507</v>
      </c>
      <c r="B85" s="323" t="s">
        <v>199</v>
      </c>
      <c r="C85" s="381">
        <f>'Balance Sheet'!H19</f>
        <v>549</v>
      </c>
      <c r="D85" s="381">
        <f>'Balance Sheet'!I19</f>
        <v>117</v>
      </c>
      <c r="E85" s="450">
        <v>700</v>
      </c>
      <c r="F85" s="450">
        <v>700</v>
      </c>
      <c r="G85" s="450">
        <v>700</v>
      </c>
      <c r="H85" s="450">
        <v>700</v>
      </c>
      <c r="I85" s="450">
        <v>700</v>
      </c>
      <c r="J85" s="382" t="s">
        <v>517</v>
      </c>
      <c r="K85" s="161"/>
      <c r="L85" s="161"/>
      <c r="M85" s="161"/>
      <c r="N85" s="161"/>
      <c r="O85" s="161"/>
    </row>
    <row r="86" spans="1:15" x14ac:dyDescent="0.2">
      <c r="A86" s="162" t="s">
        <v>508</v>
      </c>
      <c r="B86" s="383" t="s">
        <v>199</v>
      </c>
      <c r="C86" s="386">
        <f>'Balance Sheet'!H17-'Balance Sheet'!G17</f>
        <v>-331</v>
      </c>
      <c r="D86" s="386">
        <f>'Balance Sheet'!I17-'Balance Sheet'!H17</f>
        <v>-370</v>
      </c>
      <c r="E86" s="449">
        <v>-50</v>
      </c>
      <c r="F86" s="449">
        <v>-50</v>
      </c>
      <c r="G86" s="449">
        <v>-50</v>
      </c>
      <c r="H86" s="449">
        <v>-50</v>
      </c>
      <c r="I86" s="449">
        <v>-50</v>
      </c>
      <c r="J86" s="385" t="s">
        <v>518</v>
      </c>
      <c r="K86" s="162"/>
      <c r="L86" s="162"/>
      <c r="M86" s="162"/>
      <c r="N86" s="162"/>
      <c r="O86" s="162"/>
    </row>
    <row r="87" spans="1:15" x14ac:dyDescent="0.2">
      <c r="A87" s="387"/>
      <c r="B87" s="38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">
      <c r="A88" s="151" t="s">
        <v>460</v>
      </c>
      <c r="B88" s="379"/>
      <c r="C88" s="380"/>
      <c r="D88" s="380"/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</row>
    <row r="89" spans="1:15" x14ac:dyDescent="0.2">
      <c r="A89" s="324" t="s">
        <v>461</v>
      </c>
      <c r="B89" s="480" t="s">
        <v>199</v>
      </c>
      <c r="C89" s="484">
        <f>ABS('Cash Flow Statement'!H20)</f>
        <v>57</v>
      </c>
      <c r="D89" s="484">
        <f>ABS('Cash Flow Statement'!I20)</f>
        <v>521</v>
      </c>
      <c r="E89" s="483">
        <f>E90*'Income Statement'!J13</f>
        <v>171.15722000000002</v>
      </c>
      <c r="F89" s="483">
        <f>F90*'Income Statement'!K13</f>
        <v>204.9</v>
      </c>
      <c r="G89" s="483">
        <f>G90*'Income Statement'!L13</f>
        <v>226.75700000000001</v>
      </c>
      <c r="H89" s="483">
        <f>H90*'Income Statement'!M13</f>
        <v>255.27599999999998</v>
      </c>
      <c r="I89" s="483">
        <f>I90*'Income Statement'!N13</f>
        <v>292.315</v>
      </c>
      <c r="J89" s="481"/>
      <c r="K89" s="482"/>
      <c r="L89" s="482"/>
      <c r="M89" s="482"/>
      <c r="N89" s="482"/>
      <c r="O89" s="482"/>
    </row>
    <row r="90" spans="1:15" x14ac:dyDescent="0.2">
      <c r="A90" s="162" t="s">
        <v>509</v>
      </c>
      <c r="B90" s="383" t="s">
        <v>195</v>
      </c>
      <c r="C90" s="384">
        <f>-IF('Income Statement'!H13=0,0,'Cash Flow Statement'!H20/'Income Statement'!H13)</f>
        <v>-8.6836923913182571E-3</v>
      </c>
      <c r="D90" s="384">
        <f>-IF('Income Statement'!I13=0,0,'Cash Flow Statement'!I20/'Income Statement'!I13)</f>
        <v>7.2549285821209897E-2</v>
      </c>
      <c r="E90" s="455">
        <v>0.02</v>
      </c>
      <c r="F90" s="455">
        <v>0.02</v>
      </c>
      <c r="G90" s="455">
        <v>0.02</v>
      </c>
      <c r="H90" s="455">
        <v>0.02</v>
      </c>
      <c r="I90" s="455">
        <v>0.02</v>
      </c>
      <c r="J90" s="385"/>
      <c r="K90" s="162"/>
      <c r="L90" s="162"/>
      <c r="M90" s="162"/>
      <c r="N90" s="162"/>
      <c r="O90" s="162"/>
    </row>
    <row r="91" spans="1:15" x14ac:dyDescent="0.2">
      <c r="A91" s="324" t="s">
        <v>462</v>
      </c>
      <c r="B91" s="325" t="s">
        <v>199</v>
      </c>
      <c r="C91" s="326">
        <f>'Balance Sheet'!H45</f>
        <v>4534</v>
      </c>
      <c r="D91" s="326">
        <f>'Balance Sheet'!I45</f>
        <v>7832</v>
      </c>
      <c r="E91" s="326">
        <f>'Supporting Schedules'!J11</f>
        <v>6120</v>
      </c>
      <c r="F91" s="326">
        <f>'Supporting Schedules'!K11</f>
        <v>5850</v>
      </c>
      <c r="G91" s="326">
        <f>'Supporting Schedules'!L11</f>
        <v>4845</v>
      </c>
      <c r="H91" s="326">
        <f>'Supporting Schedules'!M11</f>
        <v>3957</v>
      </c>
      <c r="I91" s="326">
        <f>'Supporting Schedules'!N11</f>
        <v>2807</v>
      </c>
      <c r="J91" s="327" t="s">
        <v>560</v>
      </c>
      <c r="K91" s="330"/>
      <c r="L91" s="330"/>
      <c r="M91" s="330"/>
      <c r="N91" s="330"/>
      <c r="O91" s="330"/>
    </row>
    <row r="92" spans="1:15" x14ac:dyDescent="0.2">
      <c r="A92" s="161" t="s">
        <v>499</v>
      </c>
      <c r="B92" s="323" t="s">
        <v>199</v>
      </c>
      <c r="C92" s="381">
        <f>'Balance Sheet'!H45-'Balance Sheet'!H28-'Balance Sheet'!H32</f>
        <v>0</v>
      </c>
      <c r="D92" s="381">
        <f>'Supporting Schedules'!I10</f>
        <v>1544</v>
      </c>
      <c r="E92" s="450">
        <v>1275</v>
      </c>
      <c r="F92" s="450">
        <v>1005</v>
      </c>
      <c r="G92" s="450">
        <v>0</v>
      </c>
      <c r="H92" s="450">
        <v>0</v>
      </c>
      <c r="I92" s="450">
        <v>0</v>
      </c>
      <c r="J92" s="382" t="s">
        <v>561</v>
      </c>
      <c r="K92" s="161"/>
      <c r="L92" s="161"/>
      <c r="M92" s="161"/>
      <c r="N92" s="161"/>
      <c r="O92" s="161"/>
    </row>
    <row r="93" spans="1:15" x14ac:dyDescent="0.2">
      <c r="A93" s="162" t="s">
        <v>463</v>
      </c>
      <c r="B93" s="383" t="s">
        <v>199</v>
      </c>
      <c r="C93" s="386">
        <f>'Balance Sheet'!H28</f>
        <v>300</v>
      </c>
      <c r="D93" s="386">
        <f>'Balance Sheet'!I28</f>
        <v>1722</v>
      </c>
      <c r="E93" s="449">
        <v>0</v>
      </c>
      <c r="F93" s="449">
        <v>670</v>
      </c>
      <c r="G93" s="449">
        <v>0</v>
      </c>
      <c r="H93" s="449">
        <v>0</v>
      </c>
      <c r="I93" s="449">
        <v>1150</v>
      </c>
      <c r="J93" s="385" t="s">
        <v>562</v>
      </c>
      <c r="K93" s="162"/>
      <c r="L93" s="162"/>
      <c r="M93" s="162"/>
      <c r="N93" s="162"/>
      <c r="O93" s="162"/>
    </row>
    <row r="94" spans="1:15" x14ac:dyDescent="0.2">
      <c r="A94" s="161" t="s">
        <v>464</v>
      </c>
      <c r="B94" s="323" t="s">
        <v>199</v>
      </c>
      <c r="C94" s="381">
        <f>ABS('Cash Flow Statement'!H31)</f>
        <v>0</v>
      </c>
      <c r="D94" s="381">
        <f>ABS('Cash Flow Statement'!I31)</f>
        <v>1115</v>
      </c>
      <c r="E94" s="450">
        <v>1500</v>
      </c>
      <c r="F94" s="450">
        <v>1500</v>
      </c>
      <c r="G94" s="450">
        <v>1500</v>
      </c>
      <c r="H94" s="450">
        <v>1500</v>
      </c>
      <c r="I94" s="450">
        <v>1500</v>
      </c>
      <c r="J94" s="382"/>
      <c r="K94" s="161"/>
      <c r="L94" s="161"/>
      <c r="M94" s="161"/>
      <c r="N94" s="161"/>
      <c r="O94" s="161"/>
    </row>
    <row r="95" spans="1:15" x14ac:dyDescent="0.2">
      <c r="A95" s="161" t="s">
        <v>539</v>
      </c>
      <c r="B95" s="323" t="s">
        <v>199</v>
      </c>
      <c r="C95" s="381">
        <f>'Balance Sheet'!H33</f>
        <v>90</v>
      </c>
      <c r="D95" s="381">
        <f>'Balance Sheet'!I33</f>
        <v>67</v>
      </c>
      <c r="E95" s="450">
        <v>67</v>
      </c>
      <c r="F95" s="450">
        <v>67</v>
      </c>
      <c r="G95" s="450">
        <v>67</v>
      </c>
      <c r="H95" s="450">
        <v>67</v>
      </c>
      <c r="I95" s="450">
        <v>67</v>
      </c>
      <c r="J95" s="382" t="s">
        <v>540</v>
      </c>
      <c r="K95" s="161"/>
      <c r="L95" s="161"/>
      <c r="M95" s="161"/>
      <c r="N95" s="161"/>
      <c r="O95" s="161"/>
    </row>
    <row r="96" spans="1:15" x14ac:dyDescent="0.2">
      <c r="A96" s="161" t="s">
        <v>541</v>
      </c>
      <c r="B96" s="323" t="s">
        <v>199</v>
      </c>
      <c r="C96" s="381">
        <f>'Balance Sheet'!H40</f>
        <v>-50</v>
      </c>
      <c r="D96" s="381">
        <f>'Balance Sheet'!I40</f>
        <v>5</v>
      </c>
      <c r="E96" s="450">
        <v>0</v>
      </c>
      <c r="F96" s="450">
        <v>0</v>
      </c>
      <c r="G96" s="450">
        <v>0</v>
      </c>
      <c r="H96" s="450">
        <v>0</v>
      </c>
      <c r="I96" s="450">
        <v>0</v>
      </c>
      <c r="J96" s="382" t="s">
        <v>542</v>
      </c>
      <c r="K96" s="161"/>
      <c r="L96" s="161"/>
      <c r="M96" s="161"/>
      <c r="N96" s="161"/>
      <c r="O96" s="161"/>
    </row>
    <row r="97" spans="1:15" x14ac:dyDescent="0.2">
      <c r="A97" s="387"/>
      <c r="B97" s="38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">
      <c r="A98" s="151" t="s">
        <v>423</v>
      </c>
      <c r="B98" s="379"/>
      <c r="C98" s="380"/>
      <c r="D98" s="380"/>
      <c r="E98" s="380"/>
      <c r="F98" s="380"/>
      <c r="G98" s="380"/>
      <c r="H98" s="380"/>
      <c r="I98" s="380"/>
      <c r="J98" s="380"/>
      <c r="K98" s="485"/>
      <c r="L98" s="485"/>
      <c r="M98" s="485"/>
      <c r="N98" s="485"/>
      <c r="O98" s="485"/>
    </row>
    <row r="99" spans="1:15" x14ac:dyDescent="0.2">
      <c r="A99" s="151" t="s">
        <v>465</v>
      </c>
      <c r="B99" s="379"/>
      <c r="C99" s="380"/>
      <c r="D99" s="380"/>
      <c r="E99" s="380"/>
      <c r="F99" s="380"/>
      <c r="G99" s="380"/>
      <c r="H99" s="380"/>
      <c r="I99" s="380"/>
      <c r="J99" s="380"/>
      <c r="K99" s="485"/>
      <c r="L99" s="485"/>
      <c r="M99" s="485"/>
      <c r="N99" s="485"/>
      <c r="O99" s="485"/>
    </row>
    <row r="100" spans="1:15" x14ac:dyDescent="0.2">
      <c r="A100" s="161" t="s">
        <v>466</v>
      </c>
      <c r="B100" s="323" t="s">
        <v>199</v>
      </c>
      <c r="C100" s="381">
        <f>'Cash Flow Statement'!H9</f>
        <v>151</v>
      </c>
      <c r="D100" s="381">
        <f>'Cash Flow Statement'!I9</f>
        <v>238</v>
      </c>
      <c r="E100" s="450">
        <v>42</v>
      </c>
      <c r="F100" s="450">
        <v>135</v>
      </c>
      <c r="G100" s="450">
        <v>50</v>
      </c>
      <c r="H100" s="450">
        <v>50</v>
      </c>
      <c r="I100" s="450">
        <v>50</v>
      </c>
      <c r="J100" s="382" t="s">
        <v>520</v>
      </c>
      <c r="K100" s="33"/>
      <c r="L100" s="33"/>
      <c r="M100" s="33"/>
      <c r="N100" s="33"/>
      <c r="O100" s="33"/>
    </row>
    <row r="101" spans="1:15" x14ac:dyDescent="0.2">
      <c r="A101" s="162" t="s">
        <v>536</v>
      </c>
      <c r="B101" s="383" t="s">
        <v>199</v>
      </c>
      <c r="C101" s="386">
        <f>'Cash Flow Statement'!H11</f>
        <v>0</v>
      </c>
      <c r="D101" s="386">
        <f>'Cash Flow Statement'!I11</f>
        <v>0</v>
      </c>
      <c r="E101" s="449">
        <v>13</v>
      </c>
      <c r="F101" s="449">
        <v>-40</v>
      </c>
      <c r="G101" s="449">
        <v>-71</v>
      </c>
      <c r="H101" s="449">
        <v>-10</v>
      </c>
      <c r="I101" s="449">
        <v>-35</v>
      </c>
      <c r="J101" s="385" t="s">
        <v>521</v>
      </c>
      <c r="K101" s="34"/>
      <c r="L101" s="34"/>
      <c r="M101" s="34"/>
      <c r="N101" s="34"/>
      <c r="O101" s="34"/>
    </row>
    <row r="102" spans="1:15" x14ac:dyDescent="0.2">
      <c r="A102" s="161" t="s">
        <v>537</v>
      </c>
      <c r="B102" s="323" t="s">
        <v>199</v>
      </c>
      <c r="C102" s="381">
        <f>'Cash Flow Statement'!H12</f>
        <v>0</v>
      </c>
      <c r="D102" s="381">
        <f>'Cash Flow Statement'!I12</f>
        <v>0</v>
      </c>
      <c r="E102" s="450">
        <v>153</v>
      </c>
      <c r="F102" s="450">
        <v>567</v>
      </c>
      <c r="G102" s="450">
        <v>0</v>
      </c>
      <c r="H102" s="450">
        <v>0</v>
      </c>
      <c r="I102" s="450">
        <v>0</v>
      </c>
      <c r="J102" s="382" t="s">
        <v>522</v>
      </c>
      <c r="K102" s="33"/>
      <c r="L102" s="33"/>
      <c r="M102" s="33"/>
      <c r="N102" s="33"/>
      <c r="O102" s="33"/>
    </row>
    <row r="103" spans="1:15" x14ac:dyDescent="0.2">
      <c r="A103" s="162" t="s">
        <v>538</v>
      </c>
      <c r="B103" s="383" t="s">
        <v>199</v>
      </c>
      <c r="C103" s="386">
        <f>'Cash Flow Statement'!H13</f>
        <v>0</v>
      </c>
      <c r="D103" s="386">
        <f>'Cash Flow Statement'!I13</f>
        <v>0</v>
      </c>
      <c r="E103" s="449">
        <v>36</v>
      </c>
      <c r="F103" s="449">
        <v>48</v>
      </c>
      <c r="G103" s="449">
        <v>-274</v>
      </c>
      <c r="H103" s="449">
        <v>45</v>
      </c>
      <c r="I103" s="449">
        <v>51</v>
      </c>
      <c r="J103" s="385" t="s">
        <v>523</v>
      </c>
      <c r="K103" s="34"/>
      <c r="L103" s="34"/>
      <c r="M103" s="34"/>
      <c r="N103" s="34"/>
      <c r="O103" s="34"/>
    </row>
    <row r="104" spans="1:15" x14ac:dyDescent="0.2">
      <c r="A104" s="33" t="s">
        <v>543</v>
      </c>
      <c r="B104" s="96" t="s">
        <v>199</v>
      </c>
      <c r="C104" s="486">
        <f>-('Balance Sheet'!H10-'Balance Sheet'!G10)</f>
        <v>-1250</v>
      </c>
      <c r="D104" s="486">
        <f>-('Balance Sheet'!I10-'Balance Sheet'!H10)</f>
        <v>-152</v>
      </c>
      <c r="E104" s="487">
        <f>-('Balance Sheet'!J10-'Balance Sheet'!I10)</f>
        <v>57</v>
      </c>
      <c r="F104" s="487">
        <f>-('Balance Sheet'!K10-'Balance Sheet'!J10)</f>
        <v>0</v>
      </c>
      <c r="G104" s="487">
        <f>-('Balance Sheet'!L10-'Balance Sheet'!K10)</f>
        <v>0</v>
      </c>
      <c r="H104" s="487">
        <f>-('Balance Sheet'!M10-'Balance Sheet'!L10)</f>
        <v>0</v>
      </c>
      <c r="I104" s="487">
        <f>-('Balance Sheet'!N10-'Balance Sheet'!M10)</f>
        <v>0</v>
      </c>
      <c r="J104" s="301"/>
      <c r="K104" s="33"/>
      <c r="L104" s="33"/>
      <c r="M104" s="33"/>
      <c r="N104" s="33"/>
      <c r="O104" s="33"/>
    </row>
    <row r="105" spans="1:15" x14ac:dyDescent="0.2">
      <c r="A105" s="162" t="s">
        <v>544</v>
      </c>
      <c r="B105" s="383" t="s">
        <v>199</v>
      </c>
      <c r="C105" s="386">
        <f>'Balance Sheet'!H33-'Balance Sheet'!G33</f>
        <v>87</v>
      </c>
      <c r="D105" s="386">
        <f>'Balance Sheet'!I33-'Balance Sheet'!H33</f>
        <v>-23</v>
      </c>
      <c r="E105" s="449">
        <f>'Balance Sheet'!J33-'Balance Sheet'!I33</f>
        <v>0</v>
      </c>
      <c r="F105" s="449">
        <f>'Balance Sheet'!K33-'Balance Sheet'!J33</f>
        <v>0</v>
      </c>
      <c r="G105" s="449">
        <f>'Balance Sheet'!L33-'Balance Sheet'!K33</f>
        <v>0</v>
      </c>
      <c r="H105" s="449">
        <f>'Balance Sheet'!M33-'Balance Sheet'!L33</f>
        <v>0</v>
      </c>
      <c r="I105" s="449">
        <f>'Balance Sheet'!N33-'Balance Sheet'!M33</f>
        <v>0</v>
      </c>
      <c r="J105" s="385"/>
      <c r="K105" s="34"/>
      <c r="L105" s="34"/>
      <c r="M105" s="34"/>
      <c r="N105" s="34"/>
      <c r="O105" s="34"/>
    </row>
    <row r="106" spans="1:15" x14ac:dyDescent="0.2">
      <c r="A106" s="161" t="s">
        <v>467</v>
      </c>
      <c r="B106" s="323" t="s">
        <v>199</v>
      </c>
      <c r="C106" s="381">
        <f>'Cash Flow Statement'!H16</f>
        <v>-667</v>
      </c>
      <c r="D106" s="381">
        <f>'Cash Flow Statement'!I16</f>
        <v>-99</v>
      </c>
      <c r="E106" s="450">
        <v>-83</v>
      </c>
      <c r="F106" s="450">
        <v>-39</v>
      </c>
      <c r="G106" s="450">
        <v>-25</v>
      </c>
      <c r="H106" s="450">
        <v>-20</v>
      </c>
      <c r="I106" s="450">
        <v>-15</v>
      </c>
      <c r="J106" s="382" t="s">
        <v>524</v>
      </c>
      <c r="K106" s="33"/>
      <c r="L106" s="33"/>
      <c r="M106" s="33"/>
      <c r="N106" s="33"/>
      <c r="O106" s="33"/>
    </row>
    <row r="107" spans="1:15" x14ac:dyDescent="0.2">
      <c r="A107" s="387"/>
      <c r="B107" s="388"/>
      <c r="C107" s="7"/>
      <c r="D107" s="7"/>
      <c r="E107" s="7"/>
      <c r="F107" s="7"/>
      <c r="G107" s="7"/>
      <c r="H107" s="7"/>
      <c r="I107" s="7"/>
      <c r="J107" s="7"/>
      <c r="K107" s="15"/>
      <c r="L107" s="15"/>
      <c r="M107" s="15"/>
      <c r="N107" s="15"/>
      <c r="O107" s="15"/>
    </row>
    <row r="108" spans="1:15" x14ac:dyDescent="0.2">
      <c r="A108" s="151" t="s">
        <v>468</v>
      </c>
      <c r="B108" s="379"/>
      <c r="C108" s="380"/>
      <c r="D108" s="380"/>
      <c r="E108" s="380"/>
      <c r="F108" s="380"/>
      <c r="G108" s="380"/>
      <c r="H108" s="380"/>
      <c r="I108" s="380"/>
      <c r="J108" s="380"/>
      <c r="K108" s="485"/>
      <c r="L108" s="485"/>
      <c r="M108" s="485"/>
      <c r="N108" s="485"/>
      <c r="O108" s="485"/>
    </row>
    <row r="109" spans="1:15" x14ac:dyDescent="0.2">
      <c r="A109" s="161" t="s">
        <v>103</v>
      </c>
      <c r="B109" s="323" t="s">
        <v>199</v>
      </c>
      <c r="C109" s="381">
        <f>'Cash Flow Statement'!H20</f>
        <v>57</v>
      </c>
      <c r="D109" s="381">
        <f>'Cash Flow Statement'!I20</f>
        <v>-521</v>
      </c>
      <c r="E109" s="450">
        <f>-E89</f>
        <v>-171.15722000000002</v>
      </c>
      <c r="F109" s="450">
        <f t="shared" ref="F109:I109" si="4">-F89</f>
        <v>-204.9</v>
      </c>
      <c r="G109" s="450">
        <f t="shared" si="4"/>
        <v>-226.75700000000001</v>
      </c>
      <c r="H109" s="450">
        <f t="shared" si="4"/>
        <v>-255.27599999999998</v>
      </c>
      <c r="I109" s="450">
        <f t="shared" si="4"/>
        <v>-292.315</v>
      </c>
      <c r="J109" s="382" t="s">
        <v>519</v>
      </c>
      <c r="K109" s="33"/>
      <c r="L109" s="33"/>
      <c r="M109" s="33"/>
      <c r="N109" s="33"/>
      <c r="O109" s="33"/>
    </row>
    <row r="110" spans="1:15" x14ac:dyDescent="0.2">
      <c r="A110" s="162" t="s">
        <v>469</v>
      </c>
      <c r="B110" s="383" t="s">
        <v>199</v>
      </c>
      <c r="C110" s="386">
        <f>'Cash Flow Statement'!H21</f>
        <v>0</v>
      </c>
      <c r="D110" s="386">
        <f>'Cash Flow Statement'!I21</f>
        <v>-742</v>
      </c>
      <c r="E110" s="449">
        <v>-200</v>
      </c>
      <c r="F110" s="449">
        <v>-50</v>
      </c>
      <c r="G110" s="449">
        <v>-50</v>
      </c>
      <c r="H110" s="449">
        <v>-25</v>
      </c>
      <c r="I110" s="449">
        <v>0</v>
      </c>
      <c r="J110" s="385" t="s">
        <v>525</v>
      </c>
      <c r="K110" s="34"/>
      <c r="L110" s="34"/>
      <c r="M110" s="34"/>
      <c r="N110" s="34"/>
      <c r="O110" s="34"/>
    </row>
    <row r="111" spans="1:15" x14ac:dyDescent="0.2">
      <c r="A111" s="161" t="s">
        <v>105</v>
      </c>
      <c r="B111" s="323" t="s">
        <v>199</v>
      </c>
      <c r="C111" s="381">
        <f>'Cash Flow Statement'!H22</f>
        <v>-175</v>
      </c>
      <c r="D111" s="381">
        <f>'Cash Flow Statement'!I22</f>
        <v>-789</v>
      </c>
      <c r="E111" s="450">
        <v>150</v>
      </c>
      <c r="F111" s="450">
        <v>50</v>
      </c>
      <c r="G111" s="450">
        <v>100</v>
      </c>
      <c r="H111" s="450">
        <v>50</v>
      </c>
      <c r="I111" s="450">
        <v>50</v>
      </c>
      <c r="J111" s="382" t="s">
        <v>526</v>
      </c>
      <c r="K111" s="33"/>
      <c r="L111" s="33"/>
      <c r="M111" s="33"/>
      <c r="N111" s="33"/>
      <c r="O111" s="33"/>
    </row>
    <row r="112" spans="1:15" x14ac:dyDescent="0.2">
      <c r="A112" s="162" t="s">
        <v>106</v>
      </c>
      <c r="B112" s="383" t="s">
        <v>199</v>
      </c>
      <c r="C112" s="386">
        <f>'Cash Flow Statement'!H23</f>
        <v>-83</v>
      </c>
      <c r="D112" s="386">
        <f>'Cash Flow Statement'!I23</f>
        <v>2</v>
      </c>
      <c r="E112" s="449">
        <v>-50</v>
      </c>
      <c r="F112" s="449">
        <v>0</v>
      </c>
      <c r="G112" s="449">
        <v>0</v>
      </c>
      <c r="H112" s="449">
        <v>0</v>
      </c>
      <c r="I112" s="449">
        <v>0</v>
      </c>
      <c r="J112" s="385" t="s">
        <v>527</v>
      </c>
      <c r="K112" s="34"/>
      <c r="L112" s="34"/>
      <c r="M112" s="34"/>
      <c r="N112" s="34"/>
      <c r="O112" s="34"/>
    </row>
    <row r="113" spans="1:15" x14ac:dyDescent="0.2">
      <c r="A113" s="387"/>
      <c r="B113" s="388"/>
      <c r="C113" s="7"/>
      <c r="D113" s="7"/>
      <c r="E113" s="7"/>
      <c r="F113" s="7"/>
      <c r="G113" s="7"/>
      <c r="H113" s="7"/>
      <c r="I113" s="7"/>
      <c r="J113" s="7"/>
      <c r="K113" s="15"/>
      <c r="L113" s="15"/>
      <c r="M113" s="15"/>
      <c r="N113" s="15"/>
      <c r="O113" s="15"/>
    </row>
    <row r="114" spans="1:15" x14ac:dyDescent="0.2">
      <c r="A114" s="161" t="s">
        <v>545</v>
      </c>
      <c r="B114" s="323" t="s">
        <v>199</v>
      </c>
      <c r="C114" s="381">
        <f>-('Balance Sheet'!H18-'Balance Sheet'!G18)</f>
        <v>0</v>
      </c>
      <c r="D114" s="381">
        <f>-('Balance Sheet'!I18-'Balance Sheet'!H18)</f>
        <v>-623</v>
      </c>
      <c r="E114" s="450">
        <f>-('Balance Sheet'!J18-'Balance Sheet'!I18)</f>
        <v>-1277</v>
      </c>
      <c r="F114" s="450">
        <f>-('Balance Sheet'!K18-'Balance Sheet'!J18)</f>
        <v>0</v>
      </c>
      <c r="G114" s="450">
        <f>-('Balance Sheet'!L18-'Balance Sheet'!K18)</f>
        <v>0</v>
      </c>
      <c r="H114" s="450">
        <f>-('Balance Sheet'!M18-'Balance Sheet'!L18)</f>
        <v>0</v>
      </c>
      <c r="I114" s="450">
        <f>-('Balance Sheet'!N18-'Balance Sheet'!M18)</f>
        <v>0</v>
      </c>
      <c r="J114" s="382"/>
      <c r="K114" s="33"/>
      <c r="L114" s="33"/>
      <c r="M114" s="33"/>
      <c r="N114" s="33"/>
      <c r="O114" s="33"/>
    </row>
    <row r="115" spans="1:15" x14ac:dyDescent="0.2">
      <c r="A115" s="162" t="s">
        <v>546</v>
      </c>
      <c r="B115" s="383" t="s">
        <v>199</v>
      </c>
      <c r="C115" s="386">
        <f>-('Balance Sheet'!H19-'Balance Sheet'!G19)</f>
        <v>-174</v>
      </c>
      <c r="D115" s="386">
        <f>-('Balance Sheet'!I19-'Balance Sheet'!H19)</f>
        <v>432</v>
      </c>
      <c r="E115" s="449">
        <f>-('Balance Sheet'!J19-'Balance Sheet'!I19)</f>
        <v>-583</v>
      </c>
      <c r="F115" s="449">
        <f>-('Balance Sheet'!K19-'Balance Sheet'!J19)</f>
        <v>0</v>
      </c>
      <c r="G115" s="449">
        <f>-('Balance Sheet'!L19-'Balance Sheet'!K19)</f>
        <v>0</v>
      </c>
      <c r="H115" s="449">
        <f>-('Balance Sheet'!M19-'Balance Sheet'!L19)</f>
        <v>0</v>
      </c>
      <c r="I115" s="449">
        <f>-('Balance Sheet'!N19-'Balance Sheet'!M19)</f>
        <v>0</v>
      </c>
      <c r="J115" s="385"/>
      <c r="K115" s="34"/>
      <c r="L115" s="34"/>
      <c r="M115" s="34"/>
      <c r="N115" s="34"/>
      <c r="O115" s="34"/>
    </row>
    <row r="116" spans="1:15" x14ac:dyDescent="0.2">
      <c r="A116" s="15"/>
      <c r="B116" s="197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">
      <c r="A117" s="151" t="s">
        <v>470</v>
      </c>
      <c r="B117" s="379"/>
      <c r="C117" s="380"/>
      <c r="D117" s="380"/>
      <c r="E117" s="380"/>
      <c r="F117" s="380"/>
      <c r="G117" s="380"/>
      <c r="H117" s="380"/>
      <c r="I117" s="380"/>
      <c r="J117" s="380"/>
      <c r="K117" s="485"/>
      <c r="L117" s="485"/>
      <c r="M117" s="485"/>
      <c r="N117" s="485"/>
      <c r="O117" s="485"/>
    </row>
    <row r="118" spans="1:15" x14ac:dyDescent="0.2">
      <c r="A118" s="161" t="s">
        <v>109</v>
      </c>
      <c r="B118" s="323" t="s">
        <v>199</v>
      </c>
      <c r="C118" s="381">
        <f>'Cash Flow Statement'!H29</f>
        <v>1320</v>
      </c>
      <c r="D118" s="381">
        <f>'Cash Flow Statement'!I29</f>
        <v>3003</v>
      </c>
      <c r="E118" s="450">
        <v>0</v>
      </c>
      <c r="F118" s="450">
        <v>0</v>
      </c>
      <c r="G118" s="450">
        <v>0</v>
      </c>
      <c r="H118" s="450">
        <v>0</v>
      </c>
      <c r="I118" s="450">
        <v>0</v>
      </c>
      <c r="J118" s="382" t="s">
        <v>528</v>
      </c>
      <c r="K118" s="33"/>
      <c r="L118" s="33"/>
      <c r="M118" s="33"/>
      <c r="N118" s="33"/>
      <c r="O118" s="33"/>
    </row>
    <row r="119" spans="1:15" x14ac:dyDescent="0.2">
      <c r="A119" s="34" t="s">
        <v>110</v>
      </c>
      <c r="B119" s="109" t="s">
        <v>199</v>
      </c>
      <c r="C119" s="488">
        <f>'Cash Flow Statement'!H30</f>
        <v>0</v>
      </c>
      <c r="D119" s="488">
        <f>'Cash Flow Statement'!I30</f>
        <v>0</v>
      </c>
      <c r="E119" s="478">
        <v>-1270</v>
      </c>
      <c r="F119" s="478">
        <v>-670</v>
      </c>
      <c r="G119" s="478">
        <v>-888</v>
      </c>
      <c r="H119" s="478">
        <v>-888</v>
      </c>
      <c r="I119" s="478">
        <v>-1150</v>
      </c>
      <c r="J119" s="303" t="s">
        <v>529</v>
      </c>
      <c r="K119" s="34"/>
      <c r="L119" s="34"/>
      <c r="M119" s="34"/>
      <c r="N119" s="34"/>
      <c r="O119" s="34"/>
    </row>
    <row r="120" spans="1:15" x14ac:dyDescent="0.2">
      <c r="A120" s="161" t="s">
        <v>471</v>
      </c>
      <c r="B120" s="323" t="s">
        <v>199</v>
      </c>
      <c r="C120" s="381">
        <f>'Cash Flow Statement'!H31</f>
        <v>0</v>
      </c>
      <c r="D120" s="381">
        <f>'Cash Flow Statement'!I31</f>
        <v>-1115</v>
      </c>
      <c r="E120" s="450">
        <v>-1500</v>
      </c>
      <c r="F120" s="450">
        <v>-1500</v>
      </c>
      <c r="G120" s="450">
        <v>-1500</v>
      </c>
      <c r="H120" s="450">
        <v>-1500</v>
      </c>
      <c r="I120" s="450">
        <v>-1500</v>
      </c>
      <c r="J120" s="382" t="s">
        <v>530</v>
      </c>
      <c r="K120" s="33"/>
      <c r="L120" s="33"/>
      <c r="M120" s="33"/>
      <c r="N120" s="33"/>
      <c r="O120" s="33"/>
    </row>
    <row r="121" spans="1:15" x14ac:dyDescent="0.2">
      <c r="A121" s="162" t="s">
        <v>472</v>
      </c>
      <c r="B121" s="383" t="s">
        <v>199</v>
      </c>
      <c r="C121" s="386">
        <f>'Cash Flow Statement'!H32</f>
        <v>9</v>
      </c>
      <c r="D121" s="386">
        <f>'Cash Flow Statement'!I32</f>
        <v>0</v>
      </c>
      <c r="E121" s="449">
        <v>100</v>
      </c>
      <c r="F121" s="449">
        <v>100</v>
      </c>
      <c r="G121" s="449">
        <v>100</v>
      </c>
      <c r="H121" s="449">
        <v>100</v>
      </c>
      <c r="I121" s="449">
        <v>100</v>
      </c>
      <c r="J121" s="385" t="s">
        <v>531</v>
      </c>
      <c r="K121" s="34"/>
      <c r="L121" s="34"/>
      <c r="M121" s="34"/>
      <c r="N121" s="34"/>
      <c r="O121" s="34"/>
    </row>
    <row r="122" spans="1:15" x14ac:dyDescent="0.2">
      <c r="A122" s="161" t="s">
        <v>113</v>
      </c>
      <c r="B122" s="323" t="s">
        <v>199</v>
      </c>
      <c r="C122" s="381">
        <f>'Cash Flow Statement'!H33</f>
        <v>1574</v>
      </c>
      <c r="D122" s="381">
        <f>'Cash Flow Statement'!I33</f>
        <v>-1148</v>
      </c>
      <c r="E122" s="450">
        <v>0</v>
      </c>
      <c r="F122" s="450">
        <v>0</v>
      </c>
      <c r="G122" s="450">
        <v>0</v>
      </c>
      <c r="H122" s="450">
        <v>0</v>
      </c>
      <c r="I122" s="450">
        <v>0</v>
      </c>
      <c r="J122" s="382" t="s">
        <v>532</v>
      </c>
      <c r="K122" s="33"/>
      <c r="L122" s="33"/>
      <c r="M122" s="33"/>
      <c r="N122" s="33"/>
      <c r="O122" s="33"/>
    </row>
    <row r="123" spans="1:15" x14ac:dyDescent="0.2">
      <c r="A123" s="387"/>
      <c r="B123" s="38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</sheetData>
  <mergeCells count="2">
    <mergeCell ref="A1:O1"/>
    <mergeCell ref="A2:O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6B3A"/>
  </sheetPr>
  <dimension ref="A1:N56"/>
  <sheetViews>
    <sheetView showGridLines="0" zoomScaleNormal="100" workbookViewId="0">
      <pane xSplit="2" ySplit="3" topLeftCell="C22" activePane="bottomRight" state="frozen"/>
      <selection pane="topRight" activeCell="C1" sqref="C1"/>
      <selection pane="bottomLeft" activeCell="A5" sqref="A5"/>
      <selection pane="bottomRight" activeCell="G39" sqref="G39"/>
    </sheetView>
  </sheetViews>
  <sheetFormatPr baseColWidth="10" defaultColWidth="8.83203125" defaultRowHeight="13" outlineLevelRow="1" x14ac:dyDescent="0.15"/>
  <cols>
    <col min="1" max="1" width="30.83203125" style="21" customWidth="1"/>
    <col min="2" max="2" width="5.83203125" style="23" customWidth="1"/>
    <col min="3" max="14" width="10.83203125" style="25" customWidth="1"/>
    <col min="15" max="16384" width="8.83203125" style="1"/>
  </cols>
  <sheetData>
    <row r="1" spans="1:14" ht="21" x14ac:dyDescent="0.25">
      <c r="A1" s="180" t="s">
        <v>3</v>
      </c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15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6" x14ac:dyDescent="0.2">
      <c r="A3" s="181" t="s">
        <v>334</v>
      </c>
      <c r="B3" s="105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170</v>
      </c>
      <c r="M3" s="106" t="s">
        <v>171</v>
      </c>
      <c r="N3" s="106" t="s">
        <v>172</v>
      </c>
    </row>
    <row r="4" spans="1:14" ht="14" x14ac:dyDescent="0.2">
      <c r="A4" s="110" t="s">
        <v>13</v>
      </c>
      <c r="B4" s="183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4" x14ac:dyDescent="0.2">
      <c r="A5" s="35" t="s">
        <v>14</v>
      </c>
      <c r="B5" s="184" t="s">
        <v>199</v>
      </c>
      <c r="C5" s="263">
        <v>432.91899999999998</v>
      </c>
      <c r="D5" s="263">
        <v>1040.2460000000001</v>
      </c>
      <c r="E5" s="263">
        <v>6490.9920000000002</v>
      </c>
      <c r="F5" s="263">
        <v>2236.9</v>
      </c>
      <c r="G5" s="263">
        <v>1334.018</v>
      </c>
      <c r="H5" s="263">
        <v>3430.3220000000001</v>
      </c>
      <c r="I5" s="263">
        <v>3322.835</v>
      </c>
      <c r="J5" s="264">
        <f>Assumptions!E16</f>
        <v>4320</v>
      </c>
      <c r="K5" s="264">
        <f>Assumptions!F16</f>
        <v>5000</v>
      </c>
      <c r="L5" s="264">
        <f>Assumptions!G16</f>
        <v>5850</v>
      </c>
      <c r="M5" s="264">
        <f>Assumptions!H16</f>
        <v>6562.5</v>
      </c>
      <c r="N5" s="264">
        <f>Assumptions!I16</f>
        <v>7650</v>
      </c>
    </row>
    <row r="6" spans="1:14" ht="14" x14ac:dyDescent="0.2">
      <c r="A6" s="108" t="s">
        <v>15</v>
      </c>
      <c r="B6" s="185" t="s">
        <v>199</v>
      </c>
      <c r="C6" s="265">
        <v>30.085999999999999</v>
      </c>
      <c r="D6" s="265">
        <v>55.927999999999997</v>
      </c>
      <c r="E6" s="265">
        <v>346.274</v>
      </c>
      <c r="F6" s="265">
        <v>119.34399999999999</v>
      </c>
      <c r="G6" s="265">
        <v>90.164000000000001</v>
      </c>
      <c r="H6" s="265">
        <v>345.59800000000001</v>
      </c>
      <c r="I6" s="265">
        <v>479.66699999999997</v>
      </c>
      <c r="J6" s="266">
        <f>Assumptions!E19+Assumptions!E22</f>
        <v>950</v>
      </c>
      <c r="K6" s="266">
        <f>Assumptions!F19+Assumptions!F22</f>
        <v>1550</v>
      </c>
      <c r="L6" s="266">
        <f>Assumptions!G19+Assumptions!G22</f>
        <v>1701</v>
      </c>
      <c r="M6" s="266">
        <f>Assumptions!H19+Assumptions!H22</f>
        <v>2049.5</v>
      </c>
      <c r="N6" s="266">
        <f>Assumptions!I19+Assumptions!I22</f>
        <v>2350</v>
      </c>
    </row>
    <row r="7" spans="1:14" ht="14" x14ac:dyDescent="0.2">
      <c r="A7" s="35" t="s">
        <v>16</v>
      </c>
      <c r="B7" s="184" t="s">
        <v>199</v>
      </c>
      <c r="C7" s="263">
        <v>0</v>
      </c>
      <c r="D7" s="263">
        <v>0</v>
      </c>
      <c r="E7" s="263">
        <v>0</v>
      </c>
      <c r="F7" s="263">
        <v>0</v>
      </c>
      <c r="G7" s="263">
        <v>95.471999999999994</v>
      </c>
      <c r="H7" s="263">
        <v>210.19300000000001</v>
      </c>
      <c r="I7" s="263">
        <v>252.88800000000001</v>
      </c>
      <c r="J7" s="264">
        <f>Assumptions!E25</f>
        <v>279.76100000000002</v>
      </c>
      <c r="K7" s="264">
        <f>Assumptions!F25</f>
        <v>347.5</v>
      </c>
      <c r="L7" s="264">
        <f>Assumptions!G25</f>
        <v>490</v>
      </c>
      <c r="M7" s="264">
        <f>Assumptions!H25</f>
        <v>567</v>
      </c>
      <c r="N7" s="264">
        <f>Assumptions!I25</f>
        <v>744</v>
      </c>
    </row>
    <row r="8" spans="1:14" ht="14" x14ac:dyDescent="0.2">
      <c r="A8" s="108" t="s">
        <v>17</v>
      </c>
      <c r="B8" s="185" t="s">
        <v>199</v>
      </c>
      <c r="C8" s="265">
        <v>0</v>
      </c>
      <c r="D8" s="265">
        <v>0</v>
      </c>
      <c r="E8" s="265">
        <v>0</v>
      </c>
      <c r="F8" s="265">
        <v>245.71</v>
      </c>
      <c r="G8" s="265">
        <v>694.24699999999996</v>
      </c>
      <c r="H8" s="265">
        <v>910.46400000000006</v>
      </c>
      <c r="I8" s="265">
        <v>1348.8209999999999</v>
      </c>
      <c r="J8" s="266">
        <f>Assumptions!E32</f>
        <v>1435.6</v>
      </c>
      <c r="K8" s="266">
        <f>Assumptions!F32</f>
        <v>1651.7000000000003</v>
      </c>
      <c r="L8" s="266">
        <f>Assumptions!G32</f>
        <v>1495</v>
      </c>
      <c r="M8" s="266">
        <f>Assumptions!H32</f>
        <v>1575.0000000000002</v>
      </c>
      <c r="N8" s="266">
        <f>Assumptions!I32</f>
        <v>1650</v>
      </c>
    </row>
    <row r="9" spans="1:14" ht="14" x14ac:dyDescent="0.2">
      <c r="A9" s="35" t="s">
        <v>18</v>
      </c>
      <c r="B9" s="184" t="s">
        <v>199</v>
      </c>
      <c r="C9" s="263">
        <v>0.188</v>
      </c>
      <c r="D9" s="263">
        <v>10.413</v>
      </c>
      <c r="E9" s="263">
        <v>223.05500000000001</v>
      </c>
      <c r="F9" s="263">
        <v>275.50700000000001</v>
      </c>
      <c r="G9" s="263">
        <v>330.88499999999999</v>
      </c>
      <c r="H9" s="263">
        <v>705.75699999999995</v>
      </c>
      <c r="I9" s="263">
        <v>677.40499999999997</v>
      </c>
      <c r="J9" s="264">
        <f>Assumptions!E37</f>
        <v>249.75</v>
      </c>
      <c r="K9" s="264">
        <f>Assumptions!F37</f>
        <v>295.8</v>
      </c>
      <c r="L9" s="264">
        <f>Assumptions!G37</f>
        <v>336.35</v>
      </c>
      <c r="M9" s="264">
        <f>Assumptions!H37</f>
        <v>382.79999999999995</v>
      </c>
      <c r="N9" s="264">
        <f>Assumptions!I37</f>
        <v>425.25</v>
      </c>
    </row>
    <row r="10" spans="1:14" ht="14" x14ac:dyDescent="0.2">
      <c r="A10" s="108" t="s">
        <v>19</v>
      </c>
      <c r="B10" s="185" t="s">
        <v>199</v>
      </c>
      <c r="C10" s="265">
        <v>2.2160000000000002</v>
      </c>
      <c r="D10" s="265">
        <v>2.7639999999999998</v>
      </c>
      <c r="E10" s="265">
        <v>69.179000000000002</v>
      </c>
      <c r="F10" s="265">
        <v>110.261</v>
      </c>
      <c r="G10" s="265">
        <v>125.568</v>
      </c>
      <c r="H10" s="265">
        <v>425.113</v>
      </c>
      <c r="I10" s="265">
        <v>554.77499999999998</v>
      </c>
      <c r="J10" s="266">
        <f>Assumptions!E40</f>
        <v>639</v>
      </c>
      <c r="K10" s="266">
        <f>Assumptions!F40</f>
        <v>778</v>
      </c>
      <c r="L10" s="266">
        <f>Assumptions!G40</f>
        <v>790</v>
      </c>
      <c r="M10" s="266">
        <f>Assumptions!H40</f>
        <v>922</v>
      </c>
      <c r="N10" s="266">
        <f>Assumptions!I40</f>
        <v>1062</v>
      </c>
    </row>
    <row r="11" spans="1:14" ht="14" x14ac:dyDescent="0.2">
      <c r="A11" s="35" t="s">
        <v>20</v>
      </c>
      <c r="B11" s="184" t="s">
        <v>199</v>
      </c>
      <c r="C11" s="263">
        <v>0</v>
      </c>
      <c r="D11" s="263">
        <v>0</v>
      </c>
      <c r="E11" s="263">
        <v>0</v>
      </c>
      <c r="F11" s="263">
        <v>81.245999999999995</v>
      </c>
      <c r="G11" s="263">
        <v>186.685</v>
      </c>
      <c r="H11" s="263">
        <v>265.79899999999998</v>
      </c>
      <c r="I11" s="263">
        <v>247.047</v>
      </c>
      <c r="J11" s="264">
        <f>Assumptions!E45</f>
        <v>363.74999999999994</v>
      </c>
      <c r="K11" s="264">
        <f>Assumptions!F45</f>
        <v>247</v>
      </c>
      <c r="L11" s="264">
        <f>Assumptions!G45</f>
        <v>225.49999999999997</v>
      </c>
      <c r="M11" s="264">
        <f>Assumptions!H45</f>
        <v>205</v>
      </c>
      <c r="N11" s="264">
        <f>Assumptions!I45</f>
        <v>184.49999999999997</v>
      </c>
    </row>
    <row r="12" spans="1:14" ht="14" x14ac:dyDescent="0.2">
      <c r="A12" s="35" t="s">
        <v>587</v>
      </c>
      <c r="B12" s="184" t="s">
        <v>199</v>
      </c>
      <c r="C12" s="263">
        <v>50.786000000000001</v>
      </c>
      <c r="D12" s="263">
        <v>136.31399999999999</v>
      </c>
      <c r="E12" s="263">
        <v>484.69099999999997</v>
      </c>
      <c r="F12" s="263">
        <v>45.393000000000001</v>
      </c>
      <c r="G12" s="263">
        <v>181.84299999999999</v>
      </c>
      <c r="H12" s="263">
        <v>270.78199999999998</v>
      </c>
      <c r="I12" s="263">
        <v>297.887</v>
      </c>
      <c r="J12" s="264">
        <f>Assumptions!E48</f>
        <v>320</v>
      </c>
      <c r="K12" s="264">
        <f>Assumptions!F48</f>
        <v>375</v>
      </c>
      <c r="L12" s="264">
        <f>Assumptions!G48</f>
        <v>450</v>
      </c>
      <c r="M12" s="264">
        <f>Assumptions!H48</f>
        <v>500</v>
      </c>
      <c r="N12" s="264">
        <f>Assumptions!I48</f>
        <v>550</v>
      </c>
    </row>
    <row r="13" spans="1:14" ht="14" x14ac:dyDescent="0.2">
      <c r="A13" s="186" t="s">
        <v>21</v>
      </c>
      <c r="B13" s="187" t="s">
        <v>199</v>
      </c>
      <c r="C13" s="267">
        <f t="shared" ref="C13:N13" si="0">SUM(C5:C12)</f>
        <v>516.19499999999994</v>
      </c>
      <c r="D13" s="267">
        <f t="shared" si="0"/>
        <v>1245.665</v>
      </c>
      <c r="E13" s="267">
        <f t="shared" si="0"/>
        <v>7614.1910000000007</v>
      </c>
      <c r="F13" s="267">
        <f t="shared" si="0"/>
        <v>3114.3610000000003</v>
      </c>
      <c r="G13" s="267">
        <f t="shared" si="0"/>
        <v>3038.8820000000001</v>
      </c>
      <c r="H13" s="267">
        <f t="shared" si="0"/>
        <v>6564.0280000000002</v>
      </c>
      <c r="I13" s="267">
        <f t="shared" si="0"/>
        <v>7181.324999999998</v>
      </c>
      <c r="J13" s="267">
        <f t="shared" si="0"/>
        <v>8557.8610000000008</v>
      </c>
      <c r="K13" s="267">
        <f t="shared" si="0"/>
        <v>10245</v>
      </c>
      <c r="L13" s="267">
        <f t="shared" si="0"/>
        <v>11337.85</v>
      </c>
      <c r="M13" s="267">
        <f t="shared" si="0"/>
        <v>12763.8</v>
      </c>
      <c r="N13" s="267">
        <f t="shared" si="0"/>
        <v>14615.75</v>
      </c>
    </row>
    <row r="14" spans="1:14" ht="14" x14ac:dyDescent="0.2">
      <c r="A14" s="35"/>
      <c r="B14" s="184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1:14" ht="14" x14ac:dyDescent="0.2">
      <c r="A15" s="110" t="s">
        <v>22</v>
      </c>
      <c r="B15" s="183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14" x14ac:dyDescent="0.2">
      <c r="A16" s="35" t="s">
        <v>23</v>
      </c>
      <c r="B16" s="184" t="s">
        <v>199</v>
      </c>
      <c r="C16" s="263">
        <v>138.39500000000001</v>
      </c>
      <c r="D16" s="263">
        <v>260.13600000000002</v>
      </c>
      <c r="E16" s="263">
        <v>1898.232</v>
      </c>
      <c r="F16" s="263">
        <v>1467.3869999999999</v>
      </c>
      <c r="G16" s="263">
        <v>571.88400000000001</v>
      </c>
      <c r="H16" s="263">
        <v>833.91499999999996</v>
      </c>
      <c r="I16" s="263">
        <v>1397.06</v>
      </c>
      <c r="J16" s="264">
        <f>J13*(1-Assumptions!E51)</f>
        <v>1198.1005400000001</v>
      </c>
      <c r="K16" s="264">
        <f>K13*(1-Assumptions!F51)</f>
        <v>1403.5650000000001</v>
      </c>
      <c r="L16" s="264">
        <f>L13*(1-Assumptions!G51)</f>
        <v>1519.2719000000002</v>
      </c>
      <c r="M16" s="264">
        <f>M13*(1-Assumptions!H51)</f>
        <v>1684.8216</v>
      </c>
      <c r="N16" s="264">
        <f>N13*(1-Assumptions!I51)</f>
        <v>1900.0475000000001</v>
      </c>
    </row>
    <row r="17" spans="1:14" ht="14" x14ac:dyDescent="0.2">
      <c r="A17" s="186" t="s">
        <v>24</v>
      </c>
      <c r="B17" s="187" t="s">
        <v>199</v>
      </c>
      <c r="C17" s="267">
        <f t="shared" ref="C17:K17" si="1">C13-C16</f>
        <v>377.79999999999995</v>
      </c>
      <c r="D17" s="267">
        <f t="shared" si="1"/>
        <v>985.529</v>
      </c>
      <c r="E17" s="267">
        <f t="shared" si="1"/>
        <v>5715.9590000000007</v>
      </c>
      <c r="F17" s="267">
        <f t="shared" si="1"/>
        <v>1646.9740000000004</v>
      </c>
      <c r="G17" s="267">
        <f t="shared" si="1"/>
        <v>2466.998</v>
      </c>
      <c r="H17" s="267">
        <f t="shared" si="1"/>
        <v>5730.1130000000003</v>
      </c>
      <c r="I17" s="267">
        <f t="shared" si="1"/>
        <v>5784.2649999999976</v>
      </c>
      <c r="J17" s="267">
        <f t="shared" si="1"/>
        <v>7359.7604600000004</v>
      </c>
      <c r="K17" s="267">
        <f t="shared" si="1"/>
        <v>8841.4349999999995</v>
      </c>
      <c r="L17" s="267">
        <f>L13-L16</f>
        <v>9818.5781000000006</v>
      </c>
      <c r="M17" s="267">
        <f>M13-M16</f>
        <v>11078.9784</v>
      </c>
      <c r="N17" s="267">
        <f>N13-N16</f>
        <v>12715.702499999999</v>
      </c>
    </row>
    <row r="18" spans="1:14" ht="14" x14ac:dyDescent="0.2">
      <c r="A18" s="189" t="s">
        <v>25</v>
      </c>
      <c r="B18" s="190" t="s">
        <v>195</v>
      </c>
      <c r="C18" s="191">
        <f t="shared" ref="C18:K18" si="2">IF(C13=0,0,C17/C13)</f>
        <v>0.73189395480390163</v>
      </c>
      <c r="D18" s="191">
        <f t="shared" si="2"/>
        <v>0.79116696704170064</v>
      </c>
      <c r="E18" s="191">
        <f t="shared" si="2"/>
        <v>0.75069813720196932</v>
      </c>
      <c r="F18" s="191">
        <f t="shared" si="2"/>
        <v>0.52883207823370515</v>
      </c>
      <c r="G18" s="191">
        <f t="shared" si="2"/>
        <v>0.81181105419690536</v>
      </c>
      <c r="H18" s="191">
        <f t="shared" si="2"/>
        <v>0.87295681858761121</v>
      </c>
      <c r="I18" s="191">
        <f t="shared" si="2"/>
        <v>0.8054592989455287</v>
      </c>
      <c r="J18" s="191">
        <f t="shared" si="2"/>
        <v>0.86</v>
      </c>
      <c r="K18" s="191">
        <f t="shared" si="2"/>
        <v>0.86299999999999999</v>
      </c>
      <c r="L18" s="191">
        <f>IF(L13=0,0,L17/L13)</f>
        <v>0.86599999999999999</v>
      </c>
      <c r="M18" s="191">
        <f>IF(M13=0,0,M17/M13)</f>
        <v>0.86799999999999999</v>
      </c>
      <c r="N18" s="191">
        <f>IF(N13=0,0,N17/N13)</f>
        <v>0.87</v>
      </c>
    </row>
    <row r="19" spans="1:14" ht="14" x14ac:dyDescent="0.2">
      <c r="A19" s="35"/>
      <c r="B19" s="184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</row>
    <row r="20" spans="1:14" ht="14" x14ac:dyDescent="0.2">
      <c r="A20" s="110" t="s">
        <v>26</v>
      </c>
      <c r="B20" s="183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</row>
    <row r="21" spans="1:14" ht="14" x14ac:dyDescent="0.2">
      <c r="A21" s="35" t="s">
        <v>27</v>
      </c>
      <c r="B21" s="184" t="s">
        <v>199</v>
      </c>
      <c r="C21" s="263">
        <v>24.15</v>
      </c>
      <c r="D21" s="263">
        <v>56.781999999999996</v>
      </c>
      <c r="E21" s="263">
        <v>663.68899999999996</v>
      </c>
      <c r="F21" s="263">
        <v>510.089</v>
      </c>
      <c r="G21" s="263">
        <v>332.31200000000001</v>
      </c>
      <c r="H21" s="263">
        <v>654.44399999999996</v>
      </c>
      <c r="I21" s="263">
        <v>1058.577</v>
      </c>
      <c r="J21" s="264">
        <f>J13*Assumptions!E52</f>
        <v>1335.0263160000002</v>
      </c>
      <c r="K21" s="264">
        <f>K13*Assumptions!F52</f>
        <v>1506.0149999999999</v>
      </c>
      <c r="L21" s="264">
        <f>L13*Assumptions!G52</f>
        <v>1587.2990000000002</v>
      </c>
      <c r="M21" s="264">
        <f>M13*Assumptions!H52</f>
        <v>1723.1130000000001</v>
      </c>
      <c r="N21" s="264">
        <f>N13*Assumptions!I52</f>
        <v>1900.0475000000001</v>
      </c>
    </row>
    <row r="22" spans="1:14" ht="14" x14ac:dyDescent="0.2">
      <c r="A22" s="108" t="s">
        <v>28</v>
      </c>
      <c r="B22" s="185" t="s">
        <v>199</v>
      </c>
      <c r="C22" s="265">
        <v>185.04400000000001</v>
      </c>
      <c r="D22" s="265">
        <v>271.73200000000003</v>
      </c>
      <c r="E22" s="265">
        <v>1291.5609999999999</v>
      </c>
      <c r="F22" s="265">
        <v>2326.3539999999998</v>
      </c>
      <c r="G22" s="265">
        <v>1324.5409999999999</v>
      </c>
      <c r="H22" s="265">
        <v>1468.252</v>
      </c>
      <c r="I22" s="265">
        <v>1670.605</v>
      </c>
      <c r="J22" s="266">
        <f>J13*Assumptions!E53</f>
        <v>1968.3080300000004</v>
      </c>
      <c r="K22" s="266">
        <f>K13*Assumptions!F53</f>
        <v>2253.9</v>
      </c>
      <c r="L22" s="266">
        <f>L13*Assumptions!G53</f>
        <v>2154.1914999999999</v>
      </c>
      <c r="M22" s="266">
        <f>M13*Assumptions!H53</f>
        <v>2425.1219999999998</v>
      </c>
      <c r="N22" s="266">
        <f>N13*Assumptions!I53</f>
        <v>2776.9924999999998</v>
      </c>
    </row>
    <row r="23" spans="1:14" ht="14" x14ac:dyDescent="0.2">
      <c r="A23" s="35" t="s">
        <v>29</v>
      </c>
      <c r="B23" s="184" t="s">
        <v>199</v>
      </c>
      <c r="C23" s="263">
        <v>231.929</v>
      </c>
      <c r="D23" s="263">
        <v>279.88</v>
      </c>
      <c r="E23" s="263">
        <v>909.39200000000005</v>
      </c>
      <c r="F23" s="263">
        <v>1600.586</v>
      </c>
      <c r="G23" s="263">
        <v>1041.308</v>
      </c>
      <c r="H23" s="263">
        <v>1300.2570000000001</v>
      </c>
      <c r="I23" s="263">
        <v>1619.6420000000001</v>
      </c>
      <c r="J23" s="264">
        <f>J13*Assumptions!E54</f>
        <v>2139.4652500000002</v>
      </c>
      <c r="K23" s="264">
        <f>K13*Assumptions!F54</f>
        <v>2253.9</v>
      </c>
      <c r="L23" s="264">
        <f>L13*Assumptions!G54</f>
        <v>2267.5700000000002</v>
      </c>
      <c r="M23" s="264">
        <f>M13*Assumptions!H54</f>
        <v>2425.1219999999998</v>
      </c>
      <c r="N23" s="264">
        <f>N13*Assumptions!I54</f>
        <v>2630.835</v>
      </c>
    </row>
    <row r="24" spans="1:14" ht="14" x14ac:dyDescent="0.2">
      <c r="A24" s="108" t="s">
        <v>30</v>
      </c>
      <c r="B24" s="185" t="s">
        <v>199</v>
      </c>
      <c r="C24" s="265">
        <v>-17.54</v>
      </c>
      <c r="D24" s="265">
        <v>-31.815999999999999</v>
      </c>
      <c r="E24" s="265">
        <v>-225.25299999999999</v>
      </c>
      <c r="F24" s="265">
        <v>-79.846999999999994</v>
      </c>
      <c r="G24" s="265">
        <v>-69.501000000000005</v>
      </c>
      <c r="H24" s="265">
        <v>0</v>
      </c>
      <c r="I24" s="265">
        <v>0</v>
      </c>
      <c r="J24" s="266">
        <f>Assumptions!E66</f>
        <v>0.03</v>
      </c>
      <c r="K24" s="266">
        <f>Assumptions!F66</f>
        <v>0.03</v>
      </c>
      <c r="L24" s="266">
        <f>Assumptions!G66</f>
        <v>0.03</v>
      </c>
      <c r="M24" s="266">
        <f>Assumptions!H66</f>
        <v>0.03</v>
      </c>
      <c r="N24" s="266">
        <f>Assumptions!I66</f>
        <v>0.03</v>
      </c>
    </row>
    <row r="25" spans="1:14" ht="14" x14ac:dyDescent="0.2">
      <c r="A25" s="186" t="s">
        <v>31</v>
      </c>
      <c r="B25" s="187" t="s">
        <v>199</v>
      </c>
      <c r="C25" s="267">
        <f t="shared" ref="C25:K25" si="3">SUM(C21:C24)</f>
        <v>423.58300000000003</v>
      </c>
      <c r="D25" s="267">
        <f t="shared" si="3"/>
        <v>576.57799999999997</v>
      </c>
      <c r="E25" s="267">
        <f t="shared" si="3"/>
        <v>2639.3889999999997</v>
      </c>
      <c r="F25" s="267">
        <f t="shared" si="3"/>
        <v>4357.1819999999998</v>
      </c>
      <c r="G25" s="267">
        <f t="shared" si="3"/>
        <v>2628.66</v>
      </c>
      <c r="H25" s="267">
        <f t="shared" si="3"/>
        <v>3422.953</v>
      </c>
      <c r="I25" s="267">
        <f t="shared" si="3"/>
        <v>4348.8239999999996</v>
      </c>
      <c r="J25" s="267">
        <f t="shared" si="3"/>
        <v>5442.8295960000005</v>
      </c>
      <c r="K25" s="267">
        <f t="shared" si="3"/>
        <v>6013.8450000000003</v>
      </c>
      <c r="L25" s="267">
        <f>SUM(L21:L24)</f>
        <v>6009.0904999999993</v>
      </c>
      <c r="M25" s="267">
        <f>SUM(M21:M24)</f>
        <v>6573.3869999999997</v>
      </c>
      <c r="N25" s="267">
        <f>SUM(N21:N24)</f>
        <v>7307.9049999999997</v>
      </c>
    </row>
    <row r="26" spans="1:14" ht="14" x14ac:dyDescent="0.2">
      <c r="A26" s="35"/>
      <c r="B26" s="184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</row>
    <row r="27" spans="1:14" ht="14" x14ac:dyDescent="0.2">
      <c r="A27" s="110" t="s">
        <v>589</v>
      </c>
      <c r="B27" s="183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</row>
    <row r="28" spans="1:14" ht="14" x14ac:dyDescent="0.2">
      <c r="A28" s="35" t="s">
        <v>32</v>
      </c>
      <c r="B28" s="184" t="s">
        <v>199</v>
      </c>
      <c r="C28" s="263">
        <v>17</v>
      </c>
      <c r="D28" s="263">
        <v>31</v>
      </c>
      <c r="E28" s="263">
        <v>18.399999999999999</v>
      </c>
      <c r="F28" s="263">
        <v>48</v>
      </c>
      <c r="G28" s="263">
        <v>70</v>
      </c>
      <c r="H28" s="263">
        <v>100.5</v>
      </c>
      <c r="I28" s="263">
        <v>121.3</v>
      </c>
      <c r="J28" s="264">
        <f>'Supporting Schedules'!J23</f>
        <v>223.3</v>
      </c>
      <c r="K28" s="264">
        <f>'Supporting Schedules'!K23</f>
        <v>194.62147100000004</v>
      </c>
      <c r="L28" s="264">
        <f>'Supporting Schedules'!L23</f>
        <v>200.27466195000002</v>
      </c>
      <c r="M28" s="264">
        <f>'Supporting Schedules'!M23</f>
        <v>214.83994787750007</v>
      </c>
      <c r="N28" s="264">
        <f>'Supporting Schedules'!N23</f>
        <v>237.07977654487499</v>
      </c>
    </row>
    <row r="29" spans="1:14" ht="14" x14ac:dyDescent="0.2">
      <c r="A29" s="108" t="s">
        <v>33</v>
      </c>
      <c r="B29" s="185" t="s">
        <v>199</v>
      </c>
      <c r="C29" s="265">
        <v>0</v>
      </c>
      <c r="D29" s="265">
        <v>0</v>
      </c>
      <c r="E29" s="265">
        <v>0</v>
      </c>
      <c r="F29" s="265">
        <v>0</v>
      </c>
      <c r="G29" s="265">
        <v>0</v>
      </c>
      <c r="H29" s="265">
        <v>0</v>
      </c>
      <c r="I29" s="265">
        <v>67.126000000000005</v>
      </c>
      <c r="J29" s="266">
        <f>Assumptions!E60</f>
        <v>194.10000000000002</v>
      </c>
      <c r="K29" s="266">
        <f>Assumptions!F60</f>
        <v>194.10000000000002</v>
      </c>
      <c r="L29" s="266">
        <f>Assumptions!G60</f>
        <v>194.10000000000002</v>
      </c>
      <c r="M29" s="266">
        <f>Assumptions!H60</f>
        <v>180.8</v>
      </c>
      <c r="N29" s="266">
        <f>Assumptions!I60</f>
        <v>180.8</v>
      </c>
    </row>
    <row r="30" spans="1:14" ht="14" x14ac:dyDescent="0.2">
      <c r="A30" s="35" t="s">
        <v>34</v>
      </c>
      <c r="B30" s="184" t="s">
        <v>199</v>
      </c>
      <c r="C30" s="263">
        <v>0</v>
      </c>
      <c r="D30" s="263">
        <v>0</v>
      </c>
      <c r="E30" s="263">
        <v>45.3</v>
      </c>
      <c r="F30" s="263">
        <v>106.1</v>
      </c>
      <c r="G30" s="263">
        <v>69.599999999999994</v>
      </c>
      <c r="H30" s="263">
        <v>27</v>
      </c>
      <c r="I30" s="263">
        <v>0</v>
      </c>
      <c r="J30" s="264">
        <f>Assumptions!E61</f>
        <v>10</v>
      </c>
      <c r="K30" s="264">
        <f>Assumptions!F61</f>
        <v>8</v>
      </c>
      <c r="L30" s="264">
        <f>Assumptions!G61</f>
        <v>6</v>
      </c>
      <c r="M30" s="264">
        <f>Assumptions!H61</f>
        <v>4</v>
      </c>
      <c r="N30" s="264">
        <f>Assumptions!I61</f>
        <v>2</v>
      </c>
    </row>
    <row r="31" spans="1:14" ht="14" x14ac:dyDescent="0.2">
      <c r="A31" s="19" t="s">
        <v>35</v>
      </c>
      <c r="B31" s="192" t="s">
        <v>199</v>
      </c>
      <c r="C31" s="268">
        <f t="shared" ref="C31:K31" si="4">SUM(C28:C30)</f>
        <v>17</v>
      </c>
      <c r="D31" s="268">
        <f t="shared" si="4"/>
        <v>31</v>
      </c>
      <c r="E31" s="268">
        <f t="shared" si="4"/>
        <v>63.699999999999996</v>
      </c>
      <c r="F31" s="268">
        <f t="shared" si="4"/>
        <v>154.1</v>
      </c>
      <c r="G31" s="268">
        <f t="shared" si="4"/>
        <v>139.6</v>
      </c>
      <c r="H31" s="268">
        <f t="shared" si="4"/>
        <v>127.5</v>
      </c>
      <c r="I31" s="268">
        <f t="shared" si="4"/>
        <v>188.42599999999999</v>
      </c>
      <c r="J31" s="268">
        <f t="shared" si="4"/>
        <v>427.40000000000003</v>
      </c>
      <c r="K31" s="268">
        <f t="shared" si="4"/>
        <v>396.72147100000007</v>
      </c>
      <c r="L31" s="268">
        <f>SUM(L28:L30)</f>
        <v>400.37466195000002</v>
      </c>
      <c r="M31" s="268">
        <f>SUM(M28:M30)</f>
        <v>399.63994787750005</v>
      </c>
      <c r="N31" s="268">
        <f>SUM(N28:N30)</f>
        <v>419.87977654487497</v>
      </c>
    </row>
    <row r="32" spans="1:14" ht="14" x14ac:dyDescent="0.2">
      <c r="A32" s="35"/>
      <c r="B32" s="184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</row>
    <row r="33" spans="1:14" ht="14" x14ac:dyDescent="0.2">
      <c r="A33" s="186" t="s">
        <v>36</v>
      </c>
      <c r="B33" s="187" t="s">
        <v>199</v>
      </c>
      <c r="C33" s="267">
        <f t="shared" ref="C33:K33" si="5">C17-C25</f>
        <v>-45.783000000000072</v>
      </c>
      <c r="D33" s="267">
        <f t="shared" si="5"/>
        <v>408.95100000000002</v>
      </c>
      <c r="E33" s="267">
        <f t="shared" si="5"/>
        <v>3076.5700000000011</v>
      </c>
      <c r="F33" s="267">
        <f t="shared" si="5"/>
        <v>-2710.2079999999996</v>
      </c>
      <c r="G33" s="267">
        <f t="shared" si="5"/>
        <v>-161.66199999999981</v>
      </c>
      <c r="H33" s="267">
        <f t="shared" si="5"/>
        <v>2307.1600000000003</v>
      </c>
      <c r="I33" s="267">
        <f t="shared" si="5"/>
        <v>1435.440999999998</v>
      </c>
      <c r="J33" s="267">
        <f t="shared" si="5"/>
        <v>1916.9308639999999</v>
      </c>
      <c r="K33" s="267">
        <f t="shared" si="5"/>
        <v>2827.5899999999992</v>
      </c>
      <c r="L33" s="267">
        <f>L17-L25</f>
        <v>3809.4876000000013</v>
      </c>
      <c r="M33" s="267">
        <f>M17-M25</f>
        <v>4505.5914000000002</v>
      </c>
      <c r="N33" s="267">
        <f>N17-N25</f>
        <v>5407.7974999999997</v>
      </c>
    </row>
    <row r="34" spans="1:14" ht="14" x14ac:dyDescent="0.2">
      <c r="A34" s="189" t="s">
        <v>37</v>
      </c>
      <c r="B34" s="190" t="s">
        <v>195</v>
      </c>
      <c r="C34" s="191">
        <f t="shared" ref="C34:K34" si="6">IF(C13=0,0,C33/C13)</f>
        <v>-8.8693226397001279E-2</v>
      </c>
      <c r="D34" s="191">
        <f t="shared" si="6"/>
        <v>0.3282993421184669</v>
      </c>
      <c r="E34" s="191">
        <f t="shared" si="6"/>
        <v>0.40405737129525654</v>
      </c>
      <c r="F34" s="191">
        <f t="shared" si="6"/>
        <v>-0.87022923803630969</v>
      </c>
      <c r="G34" s="191">
        <f t="shared" si="6"/>
        <v>-5.3197853684348324E-2</v>
      </c>
      <c r="H34" s="191">
        <f t="shared" si="6"/>
        <v>0.35148539890445324</v>
      </c>
      <c r="I34" s="191">
        <f t="shared" si="6"/>
        <v>0.19988525794334588</v>
      </c>
      <c r="J34" s="191">
        <f t="shared" si="6"/>
        <v>0.22399649445112507</v>
      </c>
      <c r="K34" s="191">
        <f t="shared" si="6"/>
        <v>0.27599707174231325</v>
      </c>
      <c r="L34" s="191">
        <f>IF(L13=0,0,L33/L13)</f>
        <v>0.33599735399568714</v>
      </c>
      <c r="M34" s="191">
        <f>IF(M13=0,0,M33/M13)</f>
        <v>0.3529976496027829</v>
      </c>
      <c r="N34" s="191">
        <f>IF(N13=0,0,N33/N13)</f>
        <v>0.36999794741973552</v>
      </c>
    </row>
    <row r="35" spans="1:14" ht="14" x14ac:dyDescent="0.2">
      <c r="A35" s="35"/>
      <c r="B35" s="184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</row>
    <row r="36" spans="1:14" ht="14" x14ac:dyDescent="0.2">
      <c r="A36" s="110" t="s">
        <v>38</v>
      </c>
      <c r="B36" s="183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</row>
    <row r="37" spans="1:14" ht="14" x14ac:dyDescent="0.2">
      <c r="A37" s="35" t="s">
        <v>39</v>
      </c>
      <c r="B37" s="184" t="s">
        <v>199</v>
      </c>
      <c r="C37" s="263">
        <v>0</v>
      </c>
      <c r="D37" s="263">
        <v>2.6339999999999999</v>
      </c>
      <c r="E37" s="263">
        <v>29.16</v>
      </c>
      <c r="F37" s="263">
        <v>88.900999999999996</v>
      </c>
      <c r="G37" s="263">
        <v>82.766000000000005</v>
      </c>
      <c r="H37" s="263">
        <v>80.644999999999996</v>
      </c>
      <c r="I37" s="263">
        <v>85.412999999999997</v>
      </c>
      <c r="J37" s="264">
        <f>'Supporting Schedules'!J17</f>
        <v>229.76999999999998</v>
      </c>
      <c r="K37" s="264">
        <f>'Supporting Schedules'!K17</f>
        <v>183.6</v>
      </c>
      <c r="L37" s="264">
        <f>Assumptions!G66</f>
        <v>0.03</v>
      </c>
      <c r="M37" s="264">
        <f>Assumptions!H66</f>
        <v>0.03</v>
      </c>
      <c r="N37" s="264">
        <f>Assumptions!I66</f>
        <v>0.03</v>
      </c>
    </row>
    <row r="38" spans="1:14" ht="14" x14ac:dyDescent="0.2">
      <c r="A38" s="35" t="s">
        <v>588</v>
      </c>
      <c r="B38" s="184" t="s">
        <v>199</v>
      </c>
      <c r="C38" s="263">
        <v>-0.36699999999999999</v>
      </c>
      <c r="D38" s="263">
        <v>-2.8820000000000001</v>
      </c>
      <c r="E38" s="263">
        <v>20.463000000000001</v>
      </c>
      <c r="F38" s="263">
        <v>265.47300000000001</v>
      </c>
      <c r="G38" s="263">
        <v>-167.583</v>
      </c>
      <c r="H38" s="263">
        <v>-716.12900000000002</v>
      </c>
      <c r="I38" s="263">
        <v>-172.03700000000001</v>
      </c>
      <c r="J38" s="264">
        <v>0</v>
      </c>
      <c r="K38" s="264">
        <v>0</v>
      </c>
      <c r="L38" s="264">
        <v>0</v>
      </c>
      <c r="M38" s="264">
        <v>0</v>
      </c>
      <c r="N38" s="264">
        <v>0</v>
      </c>
    </row>
    <row r="39" spans="1:14" ht="14" x14ac:dyDescent="0.2">
      <c r="A39" s="186" t="s">
        <v>40</v>
      </c>
      <c r="B39" s="187" t="s">
        <v>199</v>
      </c>
      <c r="C39" s="267">
        <f>C33-C37-C38</f>
        <v>-45.416000000000075</v>
      </c>
      <c r="D39" s="267">
        <f t="shared" ref="D39:N39" si="7">D33-D37-D38</f>
        <v>409.19900000000001</v>
      </c>
      <c r="E39" s="267">
        <f t="shared" si="7"/>
        <v>3026.947000000001</v>
      </c>
      <c r="F39" s="267">
        <f t="shared" si="7"/>
        <v>-3064.5819999999994</v>
      </c>
      <c r="G39" s="267">
        <f t="shared" si="7"/>
        <v>-76.844999999999828</v>
      </c>
      <c r="H39" s="267">
        <f t="shared" si="7"/>
        <v>2942.6440000000002</v>
      </c>
      <c r="I39" s="267">
        <f t="shared" si="7"/>
        <v>1522.064999999998</v>
      </c>
      <c r="J39" s="267">
        <f t="shared" si="7"/>
        <v>1687.1608639999999</v>
      </c>
      <c r="K39" s="267">
        <f t="shared" si="7"/>
        <v>2643.9899999999993</v>
      </c>
      <c r="L39" s="267">
        <f t="shared" si="7"/>
        <v>3809.4576000000011</v>
      </c>
      <c r="M39" s="267">
        <f t="shared" si="7"/>
        <v>4505.5614000000005</v>
      </c>
      <c r="N39" s="267">
        <f t="shared" si="7"/>
        <v>5407.7674999999999</v>
      </c>
    </row>
    <row r="40" spans="1:14" ht="14" x14ac:dyDescent="0.2">
      <c r="A40" s="35" t="s">
        <v>41</v>
      </c>
      <c r="B40" s="184" t="s">
        <v>199</v>
      </c>
      <c r="C40" s="263">
        <v>-15.029</v>
      </c>
      <c r="D40" s="263">
        <v>86.882000000000005</v>
      </c>
      <c r="E40" s="263">
        <v>-597.173</v>
      </c>
      <c r="F40" s="263">
        <v>-439.63299999999998</v>
      </c>
      <c r="G40" s="263">
        <v>-171.71600000000001</v>
      </c>
      <c r="H40" s="263">
        <v>363.57799999999997</v>
      </c>
      <c r="I40" s="263">
        <v>261.738</v>
      </c>
      <c r="J40" s="264">
        <f>J39*Assumptions!E67</f>
        <v>354.30378143999997</v>
      </c>
      <c r="K40" s="264">
        <f>K39*Assumptions!F67</f>
        <v>555.23789999999985</v>
      </c>
      <c r="L40" s="269">
        <f>L39*Assumptions!G67</f>
        <v>799.9860960000002</v>
      </c>
      <c r="M40" s="269">
        <f>M39*Assumptions!H67</f>
        <v>946.16789400000005</v>
      </c>
      <c r="N40" s="269">
        <f>N39*Assumptions!I67</f>
        <v>1135.631175</v>
      </c>
    </row>
    <row r="41" spans="1:14" ht="14" x14ac:dyDescent="0.2">
      <c r="A41" s="186" t="s">
        <v>42</v>
      </c>
      <c r="B41" s="187" t="s">
        <v>199</v>
      </c>
      <c r="C41" s="267">
        <f t="shared" ref="C41:K41" si="8">C39-C40</f>
        <v>-30.387000000000075</v>
      </c>
      <c r="D41" s="267">
        <f t="shared" si="8"/>
        <v>322.31700000000001</v>
      </c>
      <c r="E41" s="267">
        <f t="shared" si="8"/>
        <v>3624.1200000000008</v>
      </c>
      <c r="F41" s="267">
        <f t="shared" si="8"/>
        <v>-2624.9489999999996</v>
      </c>
      <c r="G41" s="267">
        <f t="shared" si="8"/>
        <v>94.87100000000018</v>
      </c>
      <c r="H41" s="267">
        <f t="shared" si="8"/>
        <v>2579.0660000000003</v>
      </c>
      <c r="I41" s="267">
        <f t="shared" si="8"/>
        <v>1260.326999999998</v>
      </c>
      <c r="J41" s="267">
        <f t="shared" si="8"/>
        <v>1332.85708256</v>
      </c>
      <c r="K41" s="267">
        <f t="shared" si="8"/>
        <v>2088.7520999999997</v>
      </c>
      <c r="L41" s="267">
        <f>L39-L40</f>
        <v>3009.471504000001</v>
      </c>
      <c r="M41" s="267">
        <f>M39-M40</f>
        <v>3559.3935060000003</v>
      </c>
      <c r="N41" s="267">
        <f>N39-N40</f>
        <v>4272.1363249999995</v>
      </c>
    </row>
    <row r="42" spans="1:14" ht="14" x14ac:dyDescent="0.2">
      <c r="A42" s="108" t="s">
        <v>43</v>
      </c>
      <c r="B42" s="185" t="s">
        <v>195</v>
      </c>
      <c r="C42" s="193">
        <f t="shared" ref="C42:K42" si="9">IF(C13=0,0,C41/C13)</f>
        <v>-5.886728852468559E-2</v>
      </c>
      <c r="D42" s="193">
        <f t="shared" si="9"/>
        <v>0.25875094828866513</v>
      </c>
      <c r="E42" s="193">
        <f t="shared" si="9"/>
        <v>0.47596914760872172</v>
      </c>
      <c r="F42" s="193">
        <f t="shared" si="9"/>
        <v>-0.84285315671497274</v>
      </c>
      <c r="G42" s="193">
        <f t="shared" si="9"/>
        <v>3.1219047004786688E-2</v>
      </c>
      <c r="H42" s="193">
        <f t="shared" si="9"/>
        <v>0.39290904913873009</v>
      </c>
      <c r="I42" s="193">
        <f t="shared" si="9"/>
        <v>0.17550062140343159</v>
      </c>
      <c r="J42" s="193">
        <f t="shared" si="9"/>
        <v>0.15574652153850124</v>
      </c>
      <c r="K42" s="193">
        <f t="shared" si="9"/>
        <v>0.20388014641288429</v>
      </c>
      <c r="L42" s="193">
        <f>IF(L13=0,0,L41/L13)</f>
        <v>0.26543581931318555</v>
      </c>
      <c r="M42" s="193">
        <f>IF(M13=0,0,M41/M13)</f>
        <v>0.27886628637239697</v>
      </c>
      <c r="N42" s="193">
        <f>IF(N13=0,0,N41/N13)</f>
        <v>0.29229675692318213</v>
      </c>
    </row>
    <row r="43" spans="1:14" ht="14" x14ac:dyDescent="0.2">
      <c r="A43" s="35"/>
      <c r="B43" s="18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</row>
    <row r="44" spans="1:14" ht="14" outlineLevel="1" x14ac:dyDescent="0.2">
      <c r="A44" s="110" t="s">
        <v>44</v>
      </c>
      <c r="B44" s="183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14" ht="14" outlineLevel="1" x14ac:dyDescent="0.2">
      <c r="A45" s="35" t="s">
        <v>555</v>
      </c>
      <c r="B45" s="184" t="s">
        <v>199</v>
      </c>
      <c r="C45" s="263">
        <v>31.146999999999998</v>
      </c>
      <c r="D45" s="263">
        <v>70.548000000000002</v>
      </c>
      <c r="E45" s="263">
        <v>820.68499999999995</v>
      </c>
      <c r="F45" s="263">
        <v>1565.8230000000001</v>
      </c>
      <c r="G45" s="263">
        <v>864.71</v>
      </c>
      <c r="H45" s="263">
        <v>912.83799999999997</v>
      </c>
      <c r="I45" s="263">
        <v>839.44</v>
      </c>
      <c r="J45" s="264">
        <f>J13*Assumptions!E55</f>
        <v>924.24898800000005</v>
      </c>
      <c r="K45" s="264">
        <f>K13*Assumptions!F55</f>
        <v>1004.01</v>
      </c>
      <c r="L45" s="264">
        <f>L13*Assumptions!G55</f>
        <v>1020.4065000000001</v>
      </c>
      <c r="M45" s="264">
        <f>M13*Assumptions!H55</f>
        <v>1084.923</v>
      </c>
      <c r="N45" s="264">
        <f>N13*Assumptions!I55</f>
        <v>1169.26</v>
      </c>
    </row>
    <row r="46" spans="1:14" ht="14" outlineLevel="1" x14ac:dyDescent="0.2">
      <c r="A46" s="19" t="s">
        <v>45</v>
      </c>
      <c r="B46" s="192" t="s">
        <v>199</v>
      </c>
      <c r="C46" s="268">
        <f t="shared" ref="C46:K46" si="10">C33+C45+C29</f>
        <v>-14.636000000000074</v>
      </c>
      <c r="D46" s="268">
        <f t="shared" si="10"/>
        <v>479.49900000000002</v>
      </c>
      <c r="E46" s="268">
        <f t="shared" si="10"/>
        <v>3897.255000000001</v>
      </c>
      <c r="F46" s="268">
        <f t="shared" si="10"/>
        <v>-1144.3849999999995</v>
      </c>
      <c r="G46" s="268">
        <f t="shared" si="10"/>
        <v>703.04800000000023</v>
      </c>
      <c r="H46" s="268">
        <f t="shared" si="10"/>
        <v>3219.9980000000005</v>
      </c>
      <c r="I46" s="268">
        <f t="shared" si="10"/>
        <v>2342.0069999999982</v>
      </c>
      <c r="J46" s="268">
        <f t="shared" si="10"/>
        <v>3035.2798520000001</v>
      </c>
      <c r="K46" s="268">
        <f t="shared" si="10"/>
        <v>4025.6999999999994</v>
      </c>
      <c r="L46" s="268">
        <f>L33+L45+L29</f>
        <v>5023.9941000000017</v>
      </c>
      <c r="M46" s="268">
        <f>M33+M45+M29</f>
        <v>5771.3144000000002</v>
      </c>
      <c r="N46" s="268">
        <f>N33+N45+N29</f>
        <v>6757.8575000000001</v>
      </c>
    </row>
    <row r="47" spans="1:14" ht="14" outlineLevel="1" x14ac:dyDescent="0.2">
      <c r="A47" s="189" t="s">
        <v>46</v>
      </c>
      <c r="B47" s="190" t="s">
        <v>195</v>
      </c>
      <c r="C47" s="191">
        <f t="shared" ref="C47:N47" si="11">IF(C13=0,0,C46/C13)</f>
        <v>-2.8353626052170355E-2</v>
      </c>
      <c r="D47" s="191">
        <f t="shared" si="11"/>
        <v>0.3849341516378802</v>
      </c>
      <c r="E47" s="191">
        <f t="shared" si="11"/>
        <v>0.51184098218707685</v>
      </c>
      <c r="F47" s="191">
        <f t="shared" si="11"/>
        <v>-0.36745419044227673</v>
      </c>
      <c r="G47" s="191">
        <f t="shared" si="11"/>
        <v>0.23135087180087946</v>
      </c>
      <c r="H47" s="191">
        <f t="shared" si="11"/>
        <v>0.49055214267824582</v>
      </c>
      <c r="I47" s="191">
        <f t="shared" si="11"/>
        <v>0.32612463577403877</v>
      </c>
      <c r="J47" s="191">
        <f t="shared" si="11"/>
        <v>0.35467739567165202</v>
      </c>
      <c r="K47" s="191">
        <f t="shared" si="11"/>
        <v>0.39294289897510976</v>
      </c>
      <c r="L47" s="191">
        <f t="shared" si="11"/>
        <v>0.44311700190071324</v>
      </c>
      <c r="M47" s="191">
        <f t="shared" si="11"/>
        <v>0.45216271016468457</v>
      </c>
      <c r="N47" s="191">
        <f t="shared" si="11"/>
        <v>0.46236816448009854</v>
      </c>
    </row>
    <row r="48" spans="1:14" ht="14" outlineLevel="1" x14ac:dyDescent="0.2">
      <c r="A48" s="19" t="s">
        <v>47</v>
      </c>
      <c r="B48" s="192" t="s">
        <v>199</v>
      </c>
      <c r="C48" s="268">
        <f t="shared" ref="C48:K48" si="12">C46+C31</f>
        <v>2.3639999999999262</v>
      </c>
      <c r="D48" s="268">
        <f t="shared" si="12"/>
        <v>510.49900000000002</v>
      </c>
      <c r="E48" s="268">
        <f t="shared" si="12"/>
        <v>3960.9550000000008</v>
      </c>
      <c r="F48" s="268">
        <f t="shared" si="12"/>
        <v>-990.28499999999951</v>
      </c>
      <c r="G48" s="268">
        <f t="shared" si="12"/>
        <v>842.64800000000025</v>
      </c>
      <c r="H48" s="268">
        <f t="shared" si="12"/>
        <v>3347.4980000000005</v>
      </c>
      <c r="I48" s="268">
        <f t="shared" si="12"/>
        <v>2530.4329999999982</v>
      </c>
      <c r="J48" s="268">
        <f t="shared" si="12"/>
        <v>3462.6798520000002</v>
      </c>
      <c r="K48" s="268">
        <f t="shared" si="12"/>
        <v>4422.4214709999997</v>
      </c>
      <c r="L48" s="268">
        <f>L46+L31</f>
        <v>5424.3687619500015</v>
      </c>
      <c r="M48" s="268">
        <f>M46+M31</f>
        <v>6170.9543478775004</v>
      </c>
      <c r="N48" s="268">
        <f>N46+N31</f>
        <v>7177.7372765448754</v>
      </c>
    </row>
    <row r="49" spans="1:14" ht="14" outlineLevel="1" x14ac:dyDescent="0.2">
      <c r="A49" s="189" t="s">
        <v>48</v>
      </c>
      <c r="B49" s="190" t="s">
        <v>195</v>
      </c>
      <c r="C49" s="191">
        <f t="shared" ref="C49:N49" si="13">IF(C13=0,0,C48/C13)</f>
        <v>4.5796646616102958E-3</v>
      </c>
      <c r="D49" s="191">
        <f t="shared" si="13"/>
        <v>0.40982045734607625</v>
      </c>
      <c r="E49" s="191">
        <f t="shared" si="13"/>
        <v>0.52020693990996558</v>
      </c>
      <c r="F49" s="191">
        <f t="shared" si="13"/>
        <v>-0.31797373522208872</v>
      </c>
      <c r="G49" s="191">
        <f t="shared" si="13"/>
        <v>0.27728881871688343</v>
      </c>
      <c r="H49" s="191">
        <f t="shared" si="13"/>
        <v>0.50997619144829975</v>
      </c>
      <c r="I49" s="191">
        <f t="shared" si="13"/>
        <v>0.35236296922921589</v>
      </c>
      <c r="J49" s="191">
        <f t="shared" si="13"/>
        <v>0.40461978197589327</v>
      </c>
      <c r="K49" s="191">
        <f t="shared" si="13"/>
        <v>0.43166632220595408</v>
      </c>
      <c r="L49" s="191">
        <f t="shared" si="13"/>
        <v>0.47843010464506069</v>
      </c>
      <c r="M49" s="191">
        <f t="shared" si="13"/>
        <v>0.48347313087618898</v>
      </c>
      <c r="N49" s="191">
        <f t="shared" si="13"/>
        <v>0.49109606257255872</v>
      </c>
    </row>
    <row r="50" spans="1:14" ht="14" outlineLevel="1" x14ac:dyDescent="0.2">
      <c r="A50" s="35" t="s">
        <v>49</v>
      </c>
      <c r="B50" s="184" t="s">
        <v>195</v>
      </c>
      <c r="C50" s="194" t="str">
        <f t="shared" ref="C50:N50" ca="1" si="14">IF(OR(C3="2019A",OFFSET(C13,0,-1)=0),"",(C13/OFFSET(C13,0,-1))-1)</f>
        <v/>
      </c>
      <c r="D50" s="194">
        <f t="shared" ca="1" si="14"/>
        <v>1.4131675045283276</v>
      </c>
      <c r="E50" s="194">
        <f t="shared" ca="1" si="14"/>
        <v>5.1125511273095103</v>
      </c>
      <c r="F50" s="194">
        <f t="shared" ca="1" si="14"/>
        <v>-0.59097939623526652</v>
      </c>
      <c r="G50" s="194">
        <f t="shared" ca="1" si="14"/>
        <v>-2.4235790263235413E-2</v>
      </c>
      <c r="H50" s="194">
        <f t="shared" ca="1" si="14"/>
        <v>1.1600141104524626</v>
      </c>
      <c r="I50" s="194">
        <f t="shared" ca="1" si="14"/>
        <v>9.4042408106729258E-2</v>
      </c>
      <c r="J50" s="194">
        <f t="shared" ca="1" si="14"/>
        <v>0.19168273264334967</v>
      </c>
      <c r="K50" s="194">
        <f t="shared" ca="1" si="14"/>
        <v>0.19714494077433597</v>
      </c>
      <c r="L50" s="194">
        <f t="shared" ca="1" si="14"/>
        <v>0.10667154709614457</v>
      </c>
      <c r="M50" s="194">
        <f t="shared" ca="1" si="14"/>
        <v>0.12576899500346173</v>
      </c>
      <c r="N50" s="194">
        <f t="shared" ca="1" si="14"/>
        <v>0.14509393754211142</v>
      </c>
    </row>
    <row r="51" spans="1:14" ht="14" x14ac:dyDescent="0.2">
      <c r="A51" s="20"/>
      <c r="B51" s="2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4" x14ac:dyDescent="0.2">
      <c r="A52" s="20"/>
      <c r="B52" s="2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 ht="14" x14ac:dyDescent="0.2">
      <c r="A53" s="20"/>
      <c r="B53" s="22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14" x14ac:dyDescent="0.2">
      <c r="A54" s="20"/>
      <c r="B54" s="22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ht="14" x14ac:dyDescent="0.2">
      <c r="A55" s="20"/>
      <c r="B55" s="22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t="14" x14ac:dyDescent="0.2">
      <c r="A56" s="20"/>
      <c r="B56" s="22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</sheetData>
  <pageMargins left="0.75" right="0.75" top="1" bottom="1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6B3A"/>
  </sheetPr>
  <dimension ref="A1:N60"/>
  <sheetViews>
    <sheetView showGridLines="0" zoomScaleNormal="100" workbookViewId="0">
      <pane xSplit="2" ySplit="3" topLeftCell="C22" activePane="bottomRight" state="frozen"/>
      <selection pane="topRight" activeCell="C1" sqref="C1"/>
      <selection pane="bottomLeft" activeCell="A5" sqref="A5"/>
      <selection pane="bottomRight" activeCell="I46" sqref="I46"/>
    </sheetView>
  </sheetViews>
  <sheetFormatPr baseColWidth="10" defaultColWidth="80" defaultRowHeight="14" outlineLevelRow="1" x14ac:dyDescent="0.2"/>
  <cols>
    <col min="1" max="1" width="30.83203125" style="26" customWidth="1"/>
    <col min="2" max="2" width="5.83203125" style="27" customWidth="1"/>
    <col min="3" max="14" width="10.83203125" style="28" customWidth="1"/>
    <col min="15" max="16384" width="80" style="3"/>
  </cols>
  <sheetData>
    <row r="1" spans="1:14" ht="21" x14ac:dyDescent="0.25">
      <c r="A1" s="180" t="s">
        <v>50</v>
      </c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 ht="12" x14ac:dyDescent="0.15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6" x14ac:dyDescent="0.2">
      <c r="A3" s="181" t="s">
        <v>335</v>
      </c>
      <c r="B3" s="105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170</v>
      </c>
      <c r="M3" s="106" t="s">
        <v>171</v>
      </c>
      <c r="N3" s="106" t="s">
        <v>172</v>
      </c>
    </row>
    <row r="4" spans="1:14" x14ac:dyDescent="0.2">
      <c r="A4" s="110" t="s">
        <v>51</v>
      </c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">
      <c r="A5" s="110" t="s">
        <v>52</v>
      </c>
      <c r="B5" s="114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">
      <c r="A6" s="35" t="s">
        <v>53</v>
      </c>
      <c r="B6" s="96" t="s">
        <v>199</v>
      </c>
      <c r="C6" s="263">
        <v>549</v>
      </c>
      <c r="D6" s="263">
        <v>1062</v>
      </c>
      <c r="E6" s="263">
        <v>7123</v>
      </c>
      <c r="F6" s="263">
        <v>4425</v>
      </c>
      <c r="G6" s="263">
        <v>5139</v>
      </c>
      <c r="H6" s="263">
        <v>8544</v>
      </c>
      <c r="I6" s="263">
        <v>11285</v>
      </c>
      <c r="J6" s="264">
        <f>I6+'Cash Flow Statement'!J36</f>
        <v>8960.8823151106844</v>
      </c>
      <c r="K6" s="264">
        <f>J6+'Cash Flow Statement'!K36</f>
        <v>10645.507179436712</v>
      </c>
      <c r="L6" s="269">
        <f>K6+'Cash Flow Statement'!L36</f>
        <v>12453.322753400411</v>
      </c>
      <c r="M6" s="269">
        <f>L6+'Cash Flow Statement'!M36</f>
        <v>15069.374234812158</v>
      </c>
      <c r="N6" s="269">
        <f>M6+'Cash Flow Statement'!N36</f>
        <v>18188.537068959773</v>
      </c>
    </row>
    <row r="7" spans="1:14" x14ac:dyDescent="0.2">
      <c r="A7" s="108" t="s">
        <v>54</v>
      </c>
      <c r="B7" s="109" t="s">
        <v>199</v>
      </c>
      <c r="C7" s="265">
        <v>0</v>
      </c>
      <c r="D7" s="265">
        <v>0</v>
      </c>
      <c r="E7" s="265">
        <v>0</v>
      </c>
      <c r="F7" s="265">
        <v>0</v>
      </c>
      <c r="G7" s="265">
        <v>248</v>
      </c>
      <c r="H7" s="265">
        <v>248</v>
      </c>
      <c r="I7" s="265">
        <v>365</v>
      </c>
      <c r="J7" s="265">
        <f>Assumptions!E78</f>
        <v>365</v>
      </c>
      <c r="K7" s="265">
        <f>Assumptions!F78</f>
        <v>365</v>
      </c>
      <c r="L7" s="265">
        <f>Assumptions!G78</f>
        <v>365</v>
      </c>
      <c r="M7" s="265">
        <f>Assumptions!H78</f>
        <v>365</v>
      </c>
      <c r="N7" s="265">
        <f>Assumptions!I78</f>
        <v>365</v>
      </c>
    </row>
    <row r="8" spans="1:14" x14ac:dyDescent="0.2">
      <c r="A8" s="35" t="s">
        <v>55</v>
      </c>
      <c r="B8" s="96" t="s">
        <v>199</v>
      </c>
      <c r="C8" s="263">
        <v>17</v>
      </c>
      <c r="D8" s="263">
        <v>189</v>
      </c>
      <c r="E8" s="263">
        <v>305</v>
      </c>
      <c r="F8" s="263">
        <v>404</v>
      </c>
      <c r="G8" s="263">
        <v>168</v>
      </c>
      <c r="H8" s="263">
        <v>265</v>
      </c>
      <c r="I8" s="263">
        <v>307</v>
      </c>
      <c r="J8" s="264">
        <f>'Income Statement'!J13*Assumptions!E71/365</f>
        <v>351.69291780821919</v>
      </c>
      <c r="K8" s="264">
        <f>'Income Statement'!K13*Assumptions!F71/365</f>
        <v>392.95890410958901</v>
      </c>
      <c r="L8" s="264">
        <f>'Income Statement'!L13*13/365</f>
        <v>403.81383561643838</v>
      </c>
      <c r="M8" s="264">
        <f>'Income Statement'!M13*12/365</f>
        <v>419.63178082191774</v>
      </c>
      <c r="N8" s="264">
        <f>'Income Statement'!N13*12/365</f>
        <v>480.51780821917811</v>
      </c>
    </row>
    <row r="9" spans="1:14" x14ac:dyDescent="0.2">
      <c r="A9" s="108" t="s">
        <v>56</v>
      </c>
      <c r="B9" s="109" t="s">
        <v>199</v>
      </c>
      <c r="C9" s="265">
        <v>1154</v>
      </c>
      <c r="D9" s="265">
        <v>3865</v>
      </c>
      <c r="E9" s="265">
        <v>10481</v>
      </c>
      <c r="F9" s="265">
        <v>80243</v>
      </c>
      <c r="G9" s="265">
        <v>4947</v>
      </c>
      <c r="H9" s="265">
        <v>6951</v>
      </c>
      <c r="I9" s="265">
        <v>6174</v>
      </c>
      <c r="J9" s="265">
        <f>'Balance Sheet'!I9*(1+Assumptions!E79)</f>
        <v>6328.3499999999995</v>
      </c>
      <c r="K9" s="265">
        <f>J9*(1+Assumptions!F79)</f>
        <v>6644.7674999999999</v>
      </c>
      <c r="L9" s="265">
        <f>K9*(1+Assumptions!G79)</f>
        <v>6977.0058749999998</v>
      </c>
      <c r="M9" s="265">
        <f>L9*(1+Assumptions!H79)</f>
        <v>7325.8561687500005</v>
      </c>
      <c r="N9" s="265">
        <f>M9*(1+Assumptions!I79)</f>
        <v>7692.1489771875013</v>
      </c>
    </row>
    <row r="10" spans="1:14" x14ac:dyDescent="0.2">
      <c r="A10" s="35" t="s">
        <v>57</v>
      </c>
      <c r="B10" s="96" t="s">
        <v>199</v>
      </c>
      <c r="C10" s="263">
        <v>267</v>
      </c>
      <c r="D10" s="263">
        <v>18</v>
      </c>
      <c r="E10" s="263">
        <v>465</v>
      </c>
      <c r="F10" s="263">
        <v>1376</v>
      </c>
      <c r="G10" s="263">
        <v>855</v>
      </c>
      <c r="H10" s="263">
        <v>2105</v>
      </c>
      <c r="I10" s="263">
        <v>2257</v>
      </c>
      <c r="J10" s="263">
        <f>Assumptions!E80</f>
        <v>2200</v>
      </c>
      <c r="K10" s="263">
        <f>Assumptions!F80</f>
        <v>2200</v>
      </c>
      <c r="L10" s="263">
        <f>Assumptions!G80</f>
        <v>2200</v>
      </c>
      <c r="M10" s="263">
        <f>Assumptions!H80</f>
        <v>2200</v>
      </c>
      <c r="N10" s="263">
        <f>Assumptions!I80</f>
        <v>2200</v>
      </c>
    </row>
    <row r="11" spans="1:14" x14ac:dyDescent="0.2">
      <c r="A11" s="19" t="s">
        <v>58</v>
      </c>
      <c r="B11" s="92" t="s">
        <v>199</v>
      </c>
      <c r="C11" s="268">
        <f t="shared" ref="C11:K11" si="0">SUM(C6:C10)</f>
        <v>1987</v>
      </c>
      <c r="D11" s="268">
        <f t="shared" si="0"/>
        <v>5134</v>
      </c>
      <c r="E11" s="268">
        <f t="shared" si="0"/>
        <v>18374</v>
      </c>
      <c r="F11" s="268">
        <f t="shared" si="0"/>
        <v>86448</v>
      </c>
      <c r="G11" s="268">
        <f t="shared" si="0"/>
        <v>11357</v>
      </c>
      <c r="H11" s="268">
        <f t="shared" si="0"/>
        <v>18113</v>
      </c>
      <c r="I11" s="268">
        <f t="shared" si="0"/>
        <v>20388</v>
      </c>
      <c r="J11" s="268">
        <f t="shared" si="0"/>
        <v>18205.925232918904</v>
      </c>
      <c r="K11" s="268">
        <f t="shared" si="0"/>
        <v>20248.233583546302</v>
      </c>
      <c r="L11" s="268">
        <f>L6+L7+L8+L9+L10</f>
        <v>22399.142464016848</v>
      </c>
      <c r="M11" s="268">
        <f>M6+M7+M8+M9+M10</f>
        <v>25379.862184384074</v>
      </c>
      <c r="N11" s="268">
        <f>N6+N7+N8+N9+N10</f>
        <v>28926.203854366453</v>
      </c>
    </row>
    <row r="12" spans="1:14" x14ac:dyDescent="0.2">
      <c r="A12" s="93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">
      <c r="A13" s="110" t="s">
        <v>59</v>
      </c>
      <c r="B13" s="114"/>
      <c r="C13" s="113"/>
      <c r="D13" s="113"/>
      <c r="E13" s="113"/>
      <c r="F13" s="113"/>
      <c r="G13" s="113"/>
      <c r="H13" s="113"/>
      <c r="I13" s="113"/>
      <c r="J13" s="113"/>
      <c r="K13" s="113"/>
      <c r="L13" s="115"/>
      <c r="M13" s="115"/>
      <c r="N13" s="115"/>
    </row>
    <row r="14" spans="1:14" x14ac:dyDescent="0.2">
      <c r="A14" s="35" t="s">
        <v>60</v>
      </c>
      <c r="B14" s="96" t="s">
        <v>199</v>
      </c>
      <c r="C14" s="263">
        <v>171</v>
      </c>
      <c r="D14" s="263">
        <v>150</v>
      </c>
      <c r="E14" s="263">
        <v>158</v>
      </c>
      <c r="F14" s="263">
        <v>241</v>
      </c>
      <c r="G14" s="263">
        <v>193</v>
      </c>
      <c r="H14" s="263">
        <v>200</v>
      </c>
      <c r="I14" s="263">
        <v>406</v>
      </c>
      <c r="J14" s="264">
        <f>'Supporting Schedules'!J24</f>
        <v>353.85722000000004</v>
      </c>
      <c r="K14" s="264">
        <f>'Supporting Schedules'!K24</f>
        <v>364.13574900000003</v>
      </c>
      <c r="L14" s="264">
        <f>'Supporting Schedules'!L24</f>
        <v>390.6180870500001</v>
      </c>
      <c r="M14" s="264">
        <f>'Supporting Schedules'!M24</f>
        <v>431.05413917249996</v>
      </c>
      <c r="N14" s="264">
        <f>'Supporting Schedules'!N24</f>
        <v>486.28936262762488</v>
      </c>
    </row>
    <row r="15" spans="1:14" x14ac:dyDescent="0.2">
      <c r="A15" s="108" t="s">
        <v>61</v>
      </c>
      <c r="B15" s="109" t="s">
        <v>199</v>
      </c>
      <c r="C15" s="265">
        <v>55</v>
      </c>
      <c r="D15" s="265">
        <v>77</v>
      </c>
      <c r="E15" s="265">
        <v>626</v>
      </c>
      <c r="F15" s="265">
        <v>1074</v>
      </c>
      <c r="G15" s="265">
        <v>1140</v>
      </c>
      <c r="H15" s="265">
        <v>1140</v>
      </c>
      <c r="I15" s="265">
        <v>4169</v>
      </c>
      <c r="J15" s="265">
        <f>Assumptions!E83</f>
        <v>4169</v>
      </c>
      <c r="K15" s="265">
        <f>Assumptions!F83</f>
        <v>4169</v>
      </c>
      <c r="L15" s="265">
        <f>Assumptions!G83</f>
        <v>4169</v>
      </c>
      <c r="M15" s="265">
        <f>Assumptions!H83</f>
        <v>4169</v>
      </c>
      <c r="N15" s="265">
        <f>Assumptions!I83</f>
        <v>4169</v>
      </c>
    </row>
    <row r="16" spans="1:14" x14ac:dyDescent="0.2">
      <c r="A16" s="35" t="s">
        <v>62</v>
      </c>
      <c r="B16" s="96" t="s">
        <v>199</v>
      </c>
      <c r="C16" s="263">
        <v>138</v>
      </c>
      <c r="D16" s="263">
        <v>693</v>
      </c>
      <c r="E16" s="263">
        <v>1165</v>
      </c>
      <c r="F16" s="263">
        <v>560</v>
      </c>
      <c r="G16" s="263">
        <v>417</v>
      </c>
      <c r="H16" s="263">
        <v>1600</v>
      </c>
      <c r="I16" s="263">
        <v>3397</v>
      </c>
      <c r="J16" s="264">
        <f>'Balance Sheet'!I16-'Income Statement'!J29-'Income Statement'!J30</f>
        <v>3192.9</v>
      </c>
      <c r="K16" s="264">
        <f>'Balance Sheet'!J16-'Income Statement'!K29-'Income Statement'!K30</f>
        <v>2990.8</v>
      </c>
      <c r="L16" s="270">
        <f>K16-'Income Statement'!L29-'Income Statement'!L30</f>
        <v>2790.7000000000003</v>
      </c>
      <c r="M16" s="270">
        <f>L16-'Income Statement'!M29-'Income Statement'!M30</f>
        <v>2605.9</v>
      </c>
      <c r="N16" s="270">
        <f>M16-'Income Statement'!N29-'Income Statement'!N30</f>
        <v>2423.1</v>
      </c>
    </row>
    <row r="17" spans="1:14" x14ac:dyDescent="0.2">
      <c r="A17" s="108" t="s">
        <v>63</v>
      </c>
      <c r="B17" s="109" t="s">
        <v>199</v>
      </c>
      <c r="C17" s="265">
        <v>0</v>
      </c>
      <c r="D17" s="265">
        <v>0</v>
      </c>
      <c r="E17" s="265">
        <v>0</v>
      </c>
      <c r="F17" s="265">
        <v>0</v>
      </c>
      <c r="G17" s="265">
        <v>1272</v>
      </c>
      <c r="H17" s="265">
        <v>941</v>
      </c>
      <c r="I17" s="265">
        <v>571</v>
      </c>
      <c r="J17" s="266">
        <f>'Supporting Schedules'!J50</f>
        <v>521</v>
      </c>
      <c r="K17" s="266">
        <f>'Supporting Schedules'!K50</f>
        <v>471</v>
      </c>
      <c r="L17" s="265">
        <f>'Supporting Schedules'!L50</f>
        <v>421</v>
      </c>
      <c r="M17" s="265">
        <f>'Supporting Schedules'!M50</f>
        <v>371</v>
      </c>
      <c r="N17" s="265">
        <f>'Supporting Schedules'!N50</f>
        <v>321</v>
      </c>
    </row>
    <row r="18" spans="1:14" x14ac:dyDescent="0.2">
      <c r="A18" s="35" t="s">
        <v>64</v>
      </c>
      <c r="B18" s="96" t="s">
        <v>199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623</v>
      </c>
      <c r="J18" s="263">
        <f>Assumptions!E84</f>
        <v>1900</v>
      </c>
      <c r="K18" s="263">
        <f>Assumptions!F84</f>
        <v>1900</v>
      </c>
      <c r="L18" s="263">
        <f>Assumptions!G84</f>
        <v>1900</v>
      </c>
      <c r="M18" s="263">
        <f>Assumptions!H84</f>
        <v>1900</v>
      </c>
      <c r="N18" s="263">
        <f>Assumptions!I84</f>
        <v>1900</v>
      </c>
    </row>
    <row r="19" spans="1:14" x14ac:dyDescent="0.2">
      <c r="A19" s="108" t="s">
        <v>65</v>
      </c>
      <c r="B19" s="109" t="s">
        <v>199</v>
      </c>
      <c r="C19" s="265">
        <v>75</v>
      </c>
      <c r="D19" s="265">
        <v>118</v>
      </c>
      <c r="E19" s="265">
        <v>952</v>
      </c>
      <c r="F19" s="265">
        <v>1402</v>
      </c>
      <c r="G19" s="265">
        <v>375</v>
      </c>
      <c r="H19" s="265">
        <v>549</v>
      </c>
      <c r="I19" s="265">
        <v>117</v>
      </c>
      <c r="J19" s="265">
        <f>Assumptions!E85</f>
        <v>700</v>
      </c>
      <c r="K19" s="265">
        <f>Assumptions!F85</f>
        <v>700</v>
      </c>
      <c r="L19" s="265">
        <f>Assumptions!G85</f>
        <v>700</v>
      </c>
      <c r="M19" s="265">
        <f>Assumptions!H85</f>
        <v>700</v>
      </c>
      <c r="N19" s="265">
        <f>Assumptions!I85</f>
        <v>700</v>
      </c>
    </row>
    <row r="20" spans="1:14" x14ac:dyDescent="0.2">
      <c r="A20" s="19" t="s">
        <v>66</v>
      </c>
      <c r="B20" s="92" t="s">
        <v>199</v>
      </c>
      <c r="C20" s="268">
        <f t="shared" ref="C20:K20" si="1">SUM(C14:C19)</f>
        <v>439</v>
      </c>
      <c r="D20" s="268">
        <f t="shared" si="1"/>
        <v>1038</v>
      </c>
      <c r="E20" s="268">
        <f t="shared" si="1"/>
        <v>2901</v>
      </c>
      <c r="F20" s="268">
        <f t="shared" si="1"/>
        <v>3277</v>
      </c>
      <c r="G20" s="268">
        <f t="shared" si="1"/>
        <v>3397</v>
      </c>
      <c r="H20" s="268">
        <f t="shared" si="1"/>
        <v>4430</v>
      </c>
      <c r="I20" s="268">
        <f t="shared" si="1"/>
        <v>9283</v>
      </c>
      <c r="J20" s="268">
        <f t="shared" si="1"/>
        <v>10836.75722</v>
      </c>
      <c r="K20" s="268">
        <f t="shared" si="1"/>
        <v>10594.935749</v>
      </c>
      <c r="L20" s="268">
        <f>SUM(L14:L19)</f>
        <v>10371.31808705</v>
      </c>
      <c r="M20" s="268">
        <f>SUM(M14:M19)</f>
        <v>10176.9541391725</v>
      </c>
      <c r="N20" s="268">
        <f>SUM(N14:N19)</f>
        <v>9999.389362627624</v>
      </c>
    </row>
    <row r="21" spans="1:14" x14ac:dyDescent="0.2">
      <c r="A21" s="29" t="s">
        <v>67</v>
      </c>
      <c r="B21" s="91" t="s">
        <v>199</v>
      </c>
      <c r="C21" s="271">
        <f t="shared" ref="C21:K21" si="2">C11+C20</f>
        <v>2426</v>
      </c>
      <c r="D21" s="271">
        <f t="shared" si="2"/>
        <v>6172</v>
      </c>
      <c r="E21" s="271">
        <f t="shared" si="2"/>
        <v>21275</v>
      </c>
      <c r="F21" s="271">
        <f t="shared" si="2"/>
        <v>89725</v>
      </c>
      <c r="G21" s="271">
        <f t="shared" si="2"/>
        <v>14754</v>
      </c>
      <c r="H21" s="271">
        <f t="shared" si="2"/>
        <v>22543</v>
      </c>
      <c r="I21" s="271">
        <f t="shared" si="2"/>
        <v>29671</v>
      </c>
      <c r="J21" s="271">
        <f t="shared" si="2"/>
        <v>29042.682452918903</v>
      </c>
      <c r="K21" s="271">
        <f t="shared" si="2"/>
        <v>30843.169332546302</v>
      </c>
      <c r="L21" s="272">
        <f>L11+L20</f>
        <v>32770.460551066848</v>
      </c>
      <c r="M21" s="272">
        <f>M11+M20</f>
        <v>35556.816323556573</v>
      </c>
      <c r="N21" s="272">
        <f>N11+N20</f>
        <v>38925.593216994079</v>
      </c>
    </row>
    <row r="22" spans="1:14" x14ac:dyDescent="0.2">
      <c r="A22" s="35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</row>
    <row r="23" spans="1:14" x14ac:dyDescent="0.2">
      <c r="A23" s="110" t="s">
        <v>68</v>
      </c>
      <c r="B23" s="111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x14ac:dyDescent="0.2">
      <c r="A24" s="110" t="s">
        <v>69</v>
      </c>
      <c r="B24" s="114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</row>
    <row r="25" spans="1:14" x14ac:dyDescent="0.2">
      <c r="A25" s="35" t="s">
        <v>70</v>
      </c>
      <c r="B25" s="96" t="s">
        <v>199</v>
      </c>
      <c r="C25" s="263">
        <v>1154</v>
      </c>
      <c r="D25" s="263">
        <v>3865</v>
      </c>
      <c r="E25" s="263">
        <v>10481</v>
      </c>
      <c r="F25" s="263">
        <v>80243</v>
      </c>
      <c r="G25" s="263">
        <v>4947</v>
      </c>
      <c r="H25" s="263">
        <v>6951</v>
      </c>
      <c r="I25" s="263">
        <v>6174</v>
      </c>
      <c r="J25" s="269">
        <f>J9</f>
        <v>6328.3499999999995</v>
      </c>
      <c r="K25" s="269">
        <f>K9</f>
        <v>6644.7674999999999</v>
      </c>
      <c r="L25" s="269">
        <f>L9</f>
        <v>6977.0058749999998</v>
      </c>
      <c r="M25" s="269">
        <f>M9</f>
        <v>7325.8561687500005</v>
      </c>
      <c r="N25" s="269">
        <f>N9</f>
        <v>7692.1489771875013</v>
      </c>
    </row>
    <row r="26" spans="1:14" x14ac:dyDescent="0.2">
      <c r="A26" s="108" t="s">
        <v>71</v>
      </c>
      <c r="B26" s="109" t="s">
        <v>199</v>
      </c>
      <c r="C26" s="265">
        <v>6</v>
      </c>
      <c r="D26" s="265">
        <v>12</v>
      </c>
      <c r="E26" s="265">
        <v>40</v>
      </c>
      <c r="F26" s="265">
        <v>56</v>
      </c>
      <c r="G26" s="265">
        <v>39</v>
      </c>
      <c r="H26" s="265">
        <v>63</v>
      </c>
      <c r="I26" s="265">
        <v>118</v>
      </c>
      <c r="J26" s="265">
        <f>Assumptions!E72</f>
        <v>55.801942958904114</v>
      </c>
      <c r="K26" s="265">
        <f>Assumptions!F72</f>
        <v>61.526136986301374</v>
      </c>
      <c r="L26" s="266">
        <f>Assumptions!G72</f>
        <v>62.435831506849325</v>
      </c>
      <c r="M26" s="266">
        <f>Assumptions!H72</f>
        <v>64.623294246575341</v>
      </c>
      <c r="N26" s="266">
        <f>Assumptions!I72</f>
        <v>72.878534246575342</v>
      </c>
    </row>
    <row r="27" spans="1:14" x14ac:dyDescent="0.2">
      <c r="A27" s="35" t="s">
        <v>72</v>
      </c>
      <c r="B27" s="96" t="s">
        <v>199</v>
      </c>
      <c r="C27" s="263">
        <v>39</v>
      </c>
      <c r="D27" s="263">
        <v>73</v>
      </c>
      <c r="E27" s="263">
        <v>439</v>
      </c>
      <c r="F27" s="263">
        <v>331</v>
      </c>
      <c r="G27" s="263">
        <v>437</v>
      </c>
      <c r="H27" s="263">
        <v>627</v>
      </c>
      <c r="I27" s="263">
        <v>687</v>
      </c>
      <c r="J27" s="263">
        <f>Assumptions!E74</f>
        <v>816.4244394000001</v>
      </c>
      <c r="K27" s="263">
        <f>Assumptions!F74</f>
        <v>872.00752499999999</v>
      </c>
      <c r="L27" s="263">
        <f>Assumptions!G74</f>
        <v>841.27266999999995</v>
      </c>
      <c r="M27" s="263">
        <f>Assumptions!H74</f>
        <v>920.27418</v>
      </c>
      <c r="N27" s="263">
        <f>Assumptions!I74</f>
        <v>1023.1067</v>
      </c>
    </row>
    <row r="28" spans="1:14" x14ac:dyDescent="0.2">
      <c r="A28" s="108" t="s">
        <v>73</v>
      </c>
      <c r="B28" s="109" t="s">
        <v>199</v>
      </c>
      <c r="C28" s="265">
        <v>24</v>
      </c>
      <c r="D28" s="265">
        <v>297</v>
      </c>
      <c r="E28" s="265">
        <v>459</v>
      </c>
      <c r="F28" s="265">
        <v>185</v>
      </c>
      <c r="G28" s="265">
        <v>63</v>
      </c>
      <c r="H28" s="265">
        <v>300</v>
      </c>
      <c r="I28" s="265">
        <v>1722</v>
      </c>
      <c r="J28" s="265">
        <f>Assumptions!E93</f>
        <v>0</v>
      </c>
      <c r="K28" s="265">
        <f>Assumptions!F93</f>
        <v>670</v>
      </c>
      <c r="L28" s="265">
        <f>Assumptions!G93</f>
        <v>0</v>
      </c>
      <c r="M28" s="265">
        <f>Assumptions!H93</f>
        <v>0</v>
      </c>
      <c r="N28" s="265">
        <f>Assumptions!I93</f>
        <v>1150</v>
      </c>
    </row>
    <row r="29" spans="1:14" x14ac:dyDescent="0.2">
      <c r="A29" s="19" t="s">
        <v>74</v>
      </c>
      <c r="B29" s="92" t="s">
        <v>199</v>
      </c>
      <c r="C29" s="268">
        <f t="shared" ref="C29:K29" si="3">SUM(C25:C28)</f>
        <v>1223</v>
      </c>
      <c r="D29" s="268">
        <f t="shared" si="3"/>
        <v>4247</v>
      </c>
      <c r="E29" s="268">
        <f t="shared" si="3"/>
        <v>11419</v>
      </c>
      <c r="F29" s="268">
        <f t="shared" si="3"/>
        <v>80815</v>
      </c>
      <c r="G29" s="268">
        <f t="shared" si="3"/>
        <v>5486</v>
      </c>
      <c r="H29" s="268">
        <f t="shared" si="3"/>
        <v>7941</v>
      </c>
      <c r="I29" s="268">
        <f t="shared" si="3"/>
        <v>8701</v>
      </c>
      <c r="J29" s="268">
        <f t="shared" si="3"/>
        <v>7200.5763823589032</v>
      </c>
      <c r="K29" s="268">
        <f t="shared" si="3"/>
        <v>8248.3011619863009</v>
      </c>
      <c r="L29" s="268">
        <f>SUM(L25:L28)</f>
        <v>7880.7143765068495</v>
      </c>
      <c r="M29" s="268">
        <f>SUM(M25:M28)</f>
        <v>8310.7536429965749</v>
      </c>
      <c r="N29" s="268">
        <f>SUM(N25:N28)</f>
        <v>9938.1342114340769</v>
      </c>
    </row>
    <row r="30" spans="1:14" x14ac:dyDescent="0.2">
      <c r="A30" s="93"/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">
      <c r="A31" s="110" t="s">
        <v>75</v>
      </c>
      <c r="B31" s="114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</row>
    <row r="32" spans="1:14" x14ac:dyDescent="0.2">
      <c r="A32" s="35" t="s">
        <v>76</v>
      </c>
      <c r="B32" s="96" t="s">
        <v>199</v>
      </c>
      <c r="C32" s="263">
        <v>107</v>
      </c>
      <c r="D32" s="263">
        <v>83</v>
      </c>
      <c r="E32" s="263">
        <v>3459</v>
      </c>
      <c r="F32" s="263">
        <v>3435</v>
      </c>
      <c r="G32" s="263">
        <v>2984</v>
      </c>
      <c r="H32" s="263">
        <v>4234</v>
      </c>
      <c r="I32" s="263">
        <v>6110</v>
      </c>
      <c r="J32" s="263">
        <f>Assumptions!E91-J28</f>
        <v>6120</v>
      </c>
      <c r="K32" s="263">
        <f>Assumptions!F91-K28</f>
        <v>5180</v>
      </c>
      <c r="L32" s="263">
        <f>Assumptions!G91-L28</f>
        <v>4845</v>
      </c>
      <c r="M32" s="263">
        <f>Assumptions!H91-M28</f>
        <v>3957</v>
      </c>
      <c r="N32" s="263">
        <f>Assumptions!I91-N28</f>
        <v>1657</v>
      </c>
    </row>
    <row r="33" spans="1:14" x14ac:dyDescent="0.2">
      <c r="A33" s="108" t="s">
        <v>77</v>
      </c>
      <c r="B33" s="109" t="s">
        <v>199</v>
      </c>
      <c r="C33" s="265">
        <v>0</v>
      </c>
      <c r="D33" s="265">
        <v>0</v>
      </c>
      <c r="E33" s="265">
        <v>15</v>
      </c>
      <c r="F33" s="265">
        <v>20</v>
      </c>
      <c r="G33" s="265">
        <v>3</v>
      </c>
      <c r="H33" s="265">
        <v>90</v>
      </c>
      <c r="I33" s="265">
        <v>67</v>
      </c>
      <c r="J33" s="265">
        <f>Assumptions!E95</f>
        <v>67</v>
      </c>
      <c r="K33" s="265">
        <f>Assumptions!F95</f>
        <v>67</v>
      </c>
      <c r="L33" s="265">
        <f>Assumptions!G95</f>
        <v>67</v>
      </c>
      <c r="M33" s="265">
        <f>Assumptions!H95</f>
        <v>67</v>
      </c>
      <c r="N33" s="265">
        <f>Assumptions!I95</f>
        <v>67</v>
      </c>
    </row>
    <row r="34" spans="1:14" x14ac:dyDescent="0.2">
      <c r="A34" s="19" t="s">
        <v>78</v>
      </c>
      <c r="B34" s="92" t="s">
        <v>199</v>
      </c>
      <c r="C34" s="268">
        <f t="shared" ref="C34:K34" si="4">SUM(C32:C33)</f>
        <v>107</v>
      </c>
      <c r="D34" s="268">
        <f t="shared" si="4"/>
        <v>83</v>
      </c>
      <c r="E34" s="268">
        <f t="shared" si="4"/>
        <v>3474</v>
      </c>
      <c r="F34" s="268">
        <f t="shared" si="4"/>
        <v>3455</v>
      </c>
      <c r="G34" s="268">
        <f t="shared" si="4"/>
        <v>2987</v>
      </c>
      <c r="H34" s="268">
        <f t="shared" si="4"/>
        <v>4324</v>
      </c>
      <c r="I34" s="268">
        <f t="shared" si="4"/>
        <v>6177</v>
      </c>
      <c r="J34" s="268">
        <f t="shared" si="4"/>
        <v>6187</v>
      </c>
      <c r="K34" s="268">
        <f t="shared" si="4"/>
        <v>5247</v>
      </c>
      <c r="L34" s="268">
        <f>SUM(L32:L33)</f>
        <v>4912</v>
      </c>
      <c r="M34" s="268">
        <f>SUM(M32:M33)</f>
        <v>4024</v>
      </c>
      <c r="N34" s="268">
        <f>SUM(N32:N33)</f>
        <v>1724</v>
      </c>
    </row>
    <row r="35" spans="1:14" x14ac:dyDescent="0.2">
      <c r="A35" s="98" t="s">
        <v>79</v>
      </c>
      <c r="B35" s="99" t="s">
        <v>199</v>
      </c>
      <c r="C35" s="273">
        <f t="shared" ref="C35:K35" si="5">C29+C34</f>
        <v>1330</v>
      </c>
      <c r="D35" s="273">
        <f t="shared" si="5"/>
        <v>4330</v>
      </c>
      <c r="E35" s="273">
        <f t="shared" si="5"/>
        <v>14893</v>
      </c>
      <c r="F35" s="273">
        <f t="shared" si="5"/>
        <v>84270</v>
      </c>
      <c r="G35" s="273">
        <f t="shared" si="5"/>
        <v>8473</v>
      </c>
      <c r="H35" s="273">
        <f t="shared" si="5"/>
        <v>12265</v>
      </c>
      <c r="I35" s="273">
        <f t="shared" si="5"/>
        <v>14878</v>
      </c>
      <c r="J35" s="273">
        <f t="shared" si="5"/>
        <v>13387.576382358904</v>
      </c>
      <c r="K35" s="273">
        <f t="shared" si="5"/>
        <v>13495.301161986301</v>
      </c>
      <c r="L35" s="273">
        <f>L29+L34</f>
        <v>12792.71437650685</v>
      </c>
      <c r="M35" s="273">
        <f>M29+M34</f>
        <v>12334.753642996575</v>
      </c>
      <c r="N35" s="273">
        <f>N29+N34</f>
        <v>11662.134211434077</v>
      </c>
    </row>
    <row r="36" spans="1:14" x14ac:dyDescent="0.2">
      <c r="A36" s="93"/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x14ac:dyDescent="0.2">
      <c r="A37" s="110" t="s">
        <v>80</v>
      </c>
      <c r="B37" s="111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</row>
    <row r="38" spans="1:14" x14ac:dyDescent="0.2">
      <c r="A38" s="35" t="s">
        <v>81</v>
      </c>
      <c r="B38" s="96" t="s">
        <v>199</v>
      </c>
      <c r="C38" s="263">
        <v>659</v>
      </c>
      <c r="D38" s="263">
        <v>794</v>
      </c>
      <c r="E38" s="263">
        <v>2035</v>
      </c>
      <c r="F38" s="263">
        <v>3768</v>
      </c>
      <c r="G38" s="263">
        <v>4492</v>
      </c>
      <c r="H38" s="263">
        <v>5366</v>
      </c>
      <c r="I38" s="263">
        <v>8567</v>
      </c>
      <c r="J38" s="264">
        <f>'Balance Sheet'!I38+'Cash Flow Statement'!J8+'Cash Flow Statement'!J32</f>
        <v>9591.2489879999994</v>
      </c>
      <c r="K38" s="264">
        <f>'Balance Sheet'!J38+'Cash Flow Statement'!K8+'Cash Flow Statement'!K32</f>
        <v>10695.258988</v>
      </c>
      <c r="L38" s="264">
        <f>'Balance Sheet'!K38+'Cash Flow Statement'!L8+'Cash Flow Statement'!L32</f>
        <v>11815.665487999999</v>
      </c>
      <c r="M38" s="264">
        <f>'Balance Sheet'!L38+'Cash Flow Statement'!M8+'Cash Flow Statement'!M32</f>
        <v>13000.588487999999</v>
      </c>
      <c r="N38" s="264">
        <f>'Balance Sheet'!M38+'Cash Flow Statement'!N8+'Cash Flow Statement'!N32</f>
        <v>14269.848488</v>
      </c>
    </row>
    <row r="39" spans="1:14" x14ac:dyDescent="0.2">
      <c r="A39" s="108" t="s">
        <v>82</v>
      </c>
      <c r="B39" s="109" t="s">
        <v>199</v>
      </c>
      <c r="C39" s="265">
        <v>404</v>
      </c>
      <c r="D39" s="265">
        <v>726</v>
      </c>
      <c r="E39" s="265">
        <v>4350</v>
      </c>
      <c r="F39" s="265">
        <v>1725</v>
      </c>
      <c r="G39" s="265">
        <v>1820</v>
      </c>
      <c r="H39" s="265">
        <v>4961</v>
      </c>
      <c r="I39" s="265">
        <v>6221</v>
      </c>
      <c r="J39" s="266">
        <f>'Balance Sheet'!I39+'Income Statement'!J41+'Cash Flow Statement'!J31</f>
        <v>6053.85708256</v>
      </c>
      <c r="K39" s="266">
        <f>'Balance Sheet'!J39+'Income Statement'!K41+'Cash Flow Statement'!K31</f>
        <v>6642.6091825599997</v>
      </c>
      <c r="L39" s="266">
        <f>'Balance Sheet'!K39+'Income Statement'!L41+'Cash Flow Statement'!L31</f>
        <v>8152.0806865600007</v>
      </c>
      <c r="M39" s="266">
        <f>'Balance Sheet'!L39+'Income Statement'!M41+'Cash Flow Statement'!M31</f>
        <v>10211.474192560001</v>
      </c>
      <c r="N39" s="266">
        <f>'Balance Sheet'!M39+'Income Statement'!N41+'Cash Flow Statement'!N31</f>
        <v>12983.610517560001</v>
      </c>
    </row>
    <row r="40" spans="1:14" x14ac:dyDescent="0.2">
      <c r="A40" s="35" t="s">
        <v>83</v>
      </c>
      <c r="B40" s="96" t="s">
        <v>199</v>
      </c>
      <c r="C40" s="263">
        <v>-1</v>
      </c>
      <c r="D40" s="263">
        <v>6</v>
      </c>
      <c r="E40" s="263">
        <v>-3</v>
      </c>
      <c r="F40" s="263">
        <v>-39</v>
      </c>
      <c r="G40" s="263">
        <v>-30</v>
      </c>
      <c r="H40" s="263">
        <v>-50</v>
      </c>
      <c r="I40" s="263">
        <v>5</v>
      </c>
      <c r="J40" s="263">
        <f>Assumptions!E96</f>
        <v>0</v>
      </c>
      <c r="K40" s="263">
        <f>Assumptions!F96</f>
        <v>0</v>
      </c>
      <c r="L40" s="263">
        <f>Assumptions!G96</f>
        <v>0</v>
      </c>
      <c r="M40" s="263">
        <f>Assumptions!H96</f>
        <v>0</v>
      </c>
      <c r="N40" s="263">
        <f>Assumptions!I96</f>
        <v>0</v>
      </c>
    </row>
    <row r="41" spans="1:14" x14ac:dyDescent="0.2">
      <c r="A41" s="98" t="s">
        <v>84</v>
      </c>
      <c r="B41" s="99" t="s">
        <v>199</v>
      </c>
      <c r="C41" s="273">
        <f t="shared" ref="C41:K41" si="6">SUM(C38:C40)</f>
        <v>1062</v>
      </c>
      <c r="D41" s="273">
        <f t="shared" si="6"/>
        <v>1526</v>
      </c>
      <c r="E41" s="273">
        <f t="shared" si="6"/>
        <v>6382</v>
      </c>
      <c r="F41" s="273">
        <f t="shared" si="6"/>
        <v>5454</v>
      </c>
      <c r="G41" s="273">
        <f t="shared" si="6"/>
        <v>6282</v>
      </c>
      <c r="H41" s="273">
        <f t="shared" si="6"/>
        <v>10277</v>
      </c>
      <c r="I41" s="273">
        <f t="shared" si="6"/>
        <v>14793</v>
      </c>
      <c r="J41" s="273">
        <f t="shared" si="6"/>
        <v>15645.106070559999</v>
      </c>
      <c r="K41" s="273">
        <f t="shared" si="6"/>
        <v>17337.868170559999</v>
      </c>
      <c r="L41" s="273">
        <f>SUM(L38:L40)</f>
        <v>19967.746174560001</v>
      </c>
      <c r="M41" s="273">
        <f>SUM(M38:M40)</f>
        <v>23212.06268056</v>
      </c>
      <c r="N41" s="273">
        <f>SUM(N38:N40)</f>
        <v>27253.459005559998</v>
      </c>
    </row>
    <row r="42" spans="1:14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x14ac:dyDescent="0.2">
      <c r="A43" s="35"/>
      <c r="B43" s="9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</row>
    <row r="44" spans="1:14" outlineLevel="1" x14ac:dyDescent="0.2">
      <c r="A44" s="110" t="s">
        <v>44</v>
      </c>
      <c r="B44" s="107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</row>
    <row r="45" spans="1:14" outlineLevel="1" x14ac:dyDescent="0.2">
      <c r="A45" s="35" t="s">
        <v>85</v>
      </c>
      <c r="B45" s="96" t="s">
        <v>199</v>
      </c>
      <c r="C45" s="269">
        <f t="shared" ref="C45:N45" si="7">C28+C32</f>
        <v>131</v>
      </c>
      <c r="D45" s="269">
        <f t="shared" si="7"/>
        <v>380</v>
      </c>
      <c r="E45" s="269">
        <f t="shared" si="7"/>
        <v>3918</v>
      </c>
      <c r="F45" s="269">
        <f t="shared" si="7"/>
        <v>3620</v>
      </c>
      <c r="G45" s="269">
        <f t="shared" si="7"/>
        <v>3047</v>
      </c>
      <c r="H45" s="269">
        <f t="shared" si="7"/>
        <v>4534</v>
      </c>
      <c r="I45" s="269">
        <f t="shared" si="7"/>
        <v>7832</v>
      </c>
      <c r="J45" s="269">
        <f t="shared" si="7"/>
        <v>6120</v>
      </c>
      <c r="K45" s="269">
        <f t="shared" si="7"/>
        <v>5850</v>
      </c>
      <c r="L45" s="269">
        <f t="shared" si="7"/>
        <v>4845</v>
      </c>
      <c r="M45" s="269">
        <f t="shared" si="7"/>
        <v>3957</v>
      </c>
      <c r="N45" s="269">
        <f t="shared" si="7"/>
        <v>2807</v>
      </c>
    </row>
    <row r="46" spans="1:14" outlineLevel="1" x14ac:dyDescent="0.2">
      <c r="A46" s="108" t="s">
        <v>86</v>
      </c>
      <c r="B46" s="109" t="s">
        <v>199</v>
      </c>
      <c r="C46" s="274">
        <f t="shared" ref="C46:N46" si="8">C45-C6</f>
        <v>-418</v>
      </c>
      <c r="D46" s="274">
        <f t="shared" si="8"/>
        <v>-682</v>
      </c>
      <c r="E46" s="274">
        <f t="shared" si="8"/>
        <v>-3205</v>
      </c>
      <c r="F46" s="274">
        <f t="shared" si="8"/>
        <v>-805</v>
      </c>
      <c r="G46" s="274">
        <f t="shared" si="8"/>
        <v>-2092</v>
      </c>
      <c r="H46" s="274">
        <f t="shared" si="8"/>
        <v>-4010</v>
      </c>
      <c r="I46" s="274">
        <f t="shared" si="8"/>
        <v>-3453</v>
      </c>
      <c r="J46" s="274">
        <f t="shared" si="8"/>
        <v>-2840.8823151106844</v>
      </c>
      <c r="K46" s="274">
        <f t="shared" si="8"/>
        <v>-4795.5071794367122</v>
      </c>
      <c r="L46" s="274">
        <f t="shared" si="8"/>
        <v>-7608.3227534004109</v>
      </c>
      <c r="M46" s="274">
        <f t="shared" si="8"/>
        <v>-11112.374234812158</v>
      </c>
      <c r="N46" s="274">
        <f t="shared" si="8"/>
        <v>-15381.537068959773</v>
      </c>
    </row>
    <row r="47" spans="1:14" outlineLevel="1" x14ac:dyDescent="0.2">
      <c r="A47" s="35"/>
      <c r="B47" s="9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</row>
    <row r="48" spans="1:14" outlineLevel="1" x14ac:dyDescent="0.2">
      <c r="A48" s="110" t="s">
        <v>87</v>
      </c>
      <c r="B48" s="18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</row>
    <row r="49" spans="1:14" outlineLevel="1" x14ac:dyDescent="0.2">
      <c r="A49" s="118" t="s">
        <v>551</v>
      </c>
      <c r="B49" s="119" t="s">
        <v>199</v>
      </c>
      <c r="C49" s="273">
        <f t="shared" ref="C49:I49" si="9">IF(ABS(C21-C35-C41) &lt; 11, "OK", C21-C35-C41)</f>
        <v>34</v>
      </c>
      <c r="D49" s="273">
        <f t="shared" si="9"/>
        <v>316</v>
      </c>
      <c r="E49" s="273" t="str">
        <f t="shared" si="9"/>
        <v>OK</v>
      </c>
      <c r="F49" s="273" t="str">
        <f t="shared" si="9"/>
        <v>OK</v>
      </c>
      <c r="G49" s="273" t="str">
        <f t="shared" si="9"/>
        <v>OK</v>
      </c>
      <c r="H49" s="273" t="str">
        <f t="shared" si="9"/>
        <v>OK</v>
      </c>
      <c r="I49" s="273" t="str">
        <f t="shared" si="9"/>
        <v>OK</v>
      </c>
      <c r="J49" s="273" t="str">
        <f>IF(ABS(J21-J35-J41) &lt; 11, "OK", J21-J35-J41)</f>
        <v>OK</v>
      </c>
      <c r="K49" s="273" t="str">
        <f t="shared" ref="K49:N49" si="10">IF(ABS(K21-K35-K41) &lt; 11, "OK", K21-K35-K41)</f>
        <v>OK</v>
      </c>
      <c r="L49" s="273" t="str">
        <f t="shared" si="10"/>
        <v>OK</v>
      </c>
      <c r="M49" s="273" t="str">
        <f t="shared" si="10"/>
        <v>OK</v>
      </c>
      <c r="N49" s="273" t="str">
        <f t="shared" si="10"/>
        <v>OK</v>
      </c>
    </row>
    <row r="50" spans="1:14" outlineLevel="1" x14ac:dyDescent="0.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120"/>
      <c r="M50" s="120"/>
      <c r="N50" s="120"/>
    </row>
    <row r="51" spans="1:14" outlineLevel="1" x14ac:dyDescent="0.2">
      <c r="A51" s="174" t="s">
        <v>88</v>
      </c>
      <c r="B51" s="175"/>
      <c r="C51" s="176" t="s">
        <v>412</v>
      </c>
      <c r="D51" s="176" t="s">
        <v>236</v>
      </c>
      <c r="E51" s="174" t="s">
        <v>413</v>
      </c>
      <c r="F51" s="174"/>
      <c r="G51" s="174"/>
      <c r="H51" s="174"/>
      <c r="I51" s="174"/>
      <c r="J51" s="174"/>
      <c r="K51" s="174"/>
      <c r="L51" s="174"/>
      <c r="M51" s="174"/>
      <c r="N51" s="176"/>
    </row>
    <row r="52" spans="1:14" outlineLevel="1" x14ac:dyDescent="0.2">
      <c r="A52" s="35" t="s">
        <v>411</v>
      </c>
      <c r="B52" s="96" t="s">
        <v>199</v>
      </c>
      <c r="C52" s="275" t="str">
        <f>C3</f>
        <v>2019A</v>
      </c>
      <c r="D52" s="275">
        <f>C49</f>
        <v>34</v>
      </c>
      <c r="E52" s="276" t="s">
        <v>414</v>
      </c>
      <c r="F52" s="276"/>
      <c r="G52" s="276"/>
      <c r="H52" s="276"/>
      <c r="I52" s="276"/>
      <c r="J52" s="276"/>
      <c r="K52" s="276"/>
      <c r="L52" s="276"/>
      <c r="M52" s="276"/>
      <c r="N52" s="276"/>
    </row>
    <row r="53" spans="1:14" ht="15" outlineLevel="1" x14ac:dyDescent="0.2">
      <c r="A53" s="108" t="s">
        <v>411</v>
      </c>
      <c r="B53" s="109" t="s">
        <v>199</v>
      </c>
      <c r="C53" s="277" t="str">
        <f>D3</f>
        <v>2020A</v>
      </c>
      <c r="D53" s="277">
        <f>D49</f>
        <v>316</v>
      </c>
      <c r="E53" s="278" t="s">
        <v>415</v>
      </c>
      <c r="F53" s="279"/>
      <c r="G53" s="279"/>
      <c r="H53" s="279"/>
      <c r="I53" s="279"/>
      <c r="J53" s="279"/>
      <c r="K53" s="279"/>
      <c r="L53" s="279"/>
      <c r="M53" s="279"/>
      <c r="N53" s="279"/>
    </row>
    <row r="54" spans="1:14" ht="15" outlineLevel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 outlineLevel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 s="20"/>
      <c r="B56" s="22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x14ac:dyDescent="0.2">
      <c r="A57" s="20"/>
      <c r="B57" s="22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x14ac:dyDescent="0.2">
      <c r="A58" s="20"/>
      <c r="B58" s="22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 x14ac:dyDescent="0.2">
      <c r="A59" s="20"/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 x14ac:dyDescent="0.2">
      <c r="A60" s="20"/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6B3A"/>
  </sheetPr>
  <dimension ref="A1:N4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8" sqref="A8"/>
    </sheetView>
  </sheetViews>
  <sheetFormatPr baseColWidth="10" defaultColWidth="80" defaultRowHeight="14" outlineLevelRow="1" x14ac:dyDescent="0.2"/>
  <cols>
    <col min="1" max="1" width="30.83203125" style="26" customWidth="1"/>
    <col min="2" max="2" width="5.83203125" style="27" customWidth="1"/>
    <col min="3" max="14" width="10.83203125" style="28" customWidth="1"/>
    <col min="15" max="16384" width="80" style="3"/>
  </cols>
  <sheetData>
    <row r="1" spans="1:14" ht="21" x14ac:dyDescent="0.25">
      <c r="A1" s="180" t="s">
        <v>89</v>
      </c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6" x14ac:dyDescent="0.2">
      <c r="A3" s="181" t="s">
        <v>336</v>
      </c>
      <c r="B3" s="105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170</v>
      </c>
      <c r="M3" s="106" t="s">
        <v>171</v>
      </c>
      <c r="N3" s="106" t="s">
        <v>172</v>
      </c>
    </row>
    <row r="4" spans="1:14" x14ac:dyDescent="0.2">
      <c r="A4" s="110" t="s">
        <v>90</v>
      </c>
      <c r="B4" s="107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">
      <c r="A5" s="35" t="s">
        <v>91</v>
      </c>
      <c r="B5" s="96" t="s">
        <v>374</v>
      </c>
      <c r="C5" s="263">
        <v>-30</v>
      </c>
      <c r="D5" s="263">
        <v>322</v>
      </c>
      <c r="E5" s="263">
        <v>3624</v>
      </c>
      <c r="F5" s="263">
        <v>-2625</v>
      </c>
      <c r="G5" s="263">
        <v>95</v>
      </c>
      <c r="H5" s="263">
        <v>2579</v>
      </c>
      <c r="I5" s="263">
        <v>1260</v>
      </c>
      <c r="J5" s="264">
        <f>'Income Statement'!J41</f>
        <v>1332.85708256</v>
      </c>
      <c r="K5" s="264">
        <f>'Income Statement'!K41</f>
        <v>2088.7520999999997</v>
      </c>
      <c r="L5" s="264">
        <f>'Income Statement'!L41</f>
        <v>3009.471504000001</v>
      </c>
      <c r="M5" s="264">
        <f>'Income Statement'!M41</f>
        <v>3559.3935060000003</v>
      </c>
      <c r="N5" s="264">
        <f>'Income Statement'!N41</f>
        <v>4272.1363249999995</v>
      </c>
    </row>
    <row r="6" spans="1:14" x14ac:dyDescent="0.2">
      <c r="A6" s="110" t="s">
        <v>92</v>
      </c>
      <c r="B6" s="107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">
      <c r="A7" s="35" t="s">
        <v>93</v>
      </c>
      <c r="B7" s="96" t="s">
        <v>374</v>
      </c>
      <c r="C7" s="263">
        <v>17</v>
      </c>
      <c r="D7" s="263">
        <v>31</v>
      </c>
      <c r="E7" s="263">
        <v>64</v>
      </c>
      <c r="F7" s="263">
        <v>154</v>
      </c>
      <c r="G7" s="263">
        <v>140</v>
      </c>
      <c r="H7" s="263">
        <v>128</v>
      </c>
      <c r="I7" s="263">
        <v>188</v>
      </c>
      <c r="J7" s="264">
        <f>'Income Statement'!J31</f>
        <v>427.40000000000003</v>
      </c>
      <c r="K7" s="264">
        <f>'Income Statement'!K31</f>
        <v>396.72147100000007</v>
      </c>
      <c r="L7" s="264">
        <f>'Income Statement'!L31</f>
        <v>400.37466195000002</v>
      </c>
      <c r="M7" s="264">
        <f>'Income Statement'!M31</f>
        <v>399.63994787750005</v>
      </c>
      <c r="N7" s="264">
        <f>'Income Statement'!N31</f>
        <v>419.87977654487497</v>
      </c>
    </row>
    <row r="8" spans="1:14" x14ac:dyDescent="0.2">
      <c r="A8" s="108" t="s">
        <v>94</v>
      </c>
      <c r="B8" s="109" t="s">
        <v>374</v>
      </c>
      <c r="C8" s="265">
        <v>31</v>
      </c>
      <c r="D8" s="265">
        <v>71</v>
      </c>
      <c r="E8" s="265">
        <v>821</v>
      </c>
      <c r="F8" s="265">
        <v>1566</v>
      </c>
      <c r="G8" s="265">
        <v>781</v>
      </c>
      <c r="H8" s="265">
        <v>913</v>
      </c>
      <c r="I8" s="265">
        <v>839</v>
      </c>
      <c r="J8" s="266">
        <f>'Income Statement'!J45</f>
        <v>924.24898800000005</v>
      </c>
      <c r="K8" s="266">
        <f>'Income Statement'!K45</f>
        <v>1004.01</v>
      </c>
      <c r="L8" s="266">
        <f>'Income Statement'!L45</f>
        <v>1020.4065000000001</v>
      </c>
      <c r="M8" s="266">
        <f>'Income Statement'!M45</f>
        <v>1084.923</v>
      </c>
      <c r="N8" s="266">
        <f>'Income Statement'!N45</f>
        <v>1169.26</v>
      </c>
    </row>
    <row r="9" spans="1:14" x14ac:dyDescent="0.2">
      <c r="A9" s="35" t="s">
        <v>95</v>
      </c>
      <c r="B9" s="96" t="s">
        <v>374</v>
      </c>
      <c r="C9" s="263">
        <v>-21</v>
      </c>
      <c r="D9" s="263">
        <v>0</v>
      </c>
      <c r="E9" s="263">
        <v>-558</v>
      </c>
      <c r="F9" s="263">
        <v>-468</v>
      </c>
      <c r="G9" s="263">
        <v>-216</v>
      </c>
      <c r="H9" s="263">
        <v>151</v>
      </c>
      <c r="I9" s="263">
        <v>238</v>
      </c>
      <c r="J9" s="263">
        <f>-('Balance Sheet'!J17-'Balance Sheet'!I17)</f>
        <v>50</v>
      </c>
      <c r="K9" s="263">
        <f>-('Balance Sheet'!K17-'Balance Sheet'!J17)</f>
        <v>50</v>
      </c>
      <c r="L9" s="263">
        <f>-('Balance Sheet'!L17-'Balance Sheet'!K17)</f>
        <v>50</v>
      </c>
      <c r="M9" s="263">
        <f>-('Balance Sheet'!M17-'Balance Sheet'!L17)</f>
        <v>50</v>
      </c>
      <c r="N9" s="263">
        <f>-('Balance Sheet'!N17-'Balance Sheet'!M17)</f>
        <v>50</v>
      </c>
    </row>
    <row r="10" spans="1:14" x14ac:dyDescent="0.2">
      <c r="A10" s="110" t="s">
        <v>96</v>
      </c>
      <c r="B10" s="107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">
      <c r="A11" s="35" t="s">
        <v>97</v>
      </c>
      <c r="B11" s="96" t="s">
        <v>374</v>
      </c>
      <c r="C11" s="263">
        <v>0</v>
      </c>
      <c r="D11" s="263">
        <v>0</v>
      </c>
      <c r="E11" s="263">
        <v>0</v>
      </c>
      <c r="F11" s="263">
        <v>0</v>
      </c>
      <c r="G11" s="263">
        <v>0</v>
      </c>
      <c r="H11" s="263">
        <v>0</v>
      </c>
      <c r="I11" s="263">
        <v>0</v>
      </c>
      <c r="J11" s="263">
        <f>-('Balance Sheet'!J8-'Balance Sheet'!I8)</f>
        <v>-44.692917808219192</v>
      </c>
      <c r="K11" s="263">
        <f>-('Balance Sheet'!K8-'Balance Sheet'!J8)</f>
        <v>-41.265986301369821</v>
      </c>
      <c r="L11" s="263">
        <f>-('Balance Sheet'!L8-'Balance Sheet'!K8)</f>
        <v>-10.854931506849368</v>
      </c>
      <c r="M11" s="263">
        <f>-('Balance Sheet'!M8-'Balance Sheet'!L8)</f>
        <v>-15.817945205479361</v>
      </c>
      <c r="N11" s="263">
        <f>-('Balance Sheet'!N8-'Balance Sheet'!M8)</f>
        <v>-60.886027397260364</v>
      </c>
    </row>
    <row r="12" spans="1:14" x14ac:dyDescent="0.2">
      <c r="A12" s="108" t="s">
        <v>98</v>
      </c>
      <c r="B12" s="109" t="s">
        <v>374</v>
      </c>
      <c r="C12" s="265">
        <v>0</v>
      </c>
      <c r="D12" s="265">
        <v>0</v>
      </c>
      <c r="E12" s="265">
        <v>0</v>
      </c>
      <c r="F12" s="265">
        <v>0</v>
      </c>
      <c r="G12" s="265">
        <v>0</v>
      </c>
      <c r="H12" s="265">
        <v>0</v>
      </c>
      <c r="I12" s="265">
        <v>0</v>
      </c>
      <c r="J12" s="265">
        <v>0</v>
      </c>
      <c r="K12" s="265">
        <v>0</v>
      </c>
      <c r="L12" s="265">
        <v>0</v>
      </c>
      <c r="M12" s="265">
        <v>0</v>
      </c>
      <c r="N12" s="265">
        <v>0</v>
      </c>
    </row>
    <row r="13" spans="1:14" x14ac:dyDescent="0.2">
      <c r="A13" s="35" t="s">
        <v>99</v>
      </c>
      <c r="B13" s="96" t="s">
        <v>374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f>('Balance Sheet'!J26+'Balance Sheet'!J27)-('Balance Sheet'!I26+'Balance Sheet'!I27)</f>
        <v>67.226382358904175</v>
      </c>
      <c r="K13" s="263">
        <f>('Balance Sheet'!K26+'Balance Sheet'!K27)-('Balance Sheet'!J26+'Balance Sheet'!J27)</f>
        <v>61.307279627397179</v>
      </c>
      <c r="L13" s="263">
        <f>('Balance Sheet'!L26+'Balance Sheet'!L27)-('Balance Sheet'!K26+'Balance Sheet'!K27)</f>
        <v>-29.825160479452052</v>
      </c>
      <c r="M13" s="263">
        <f>('Balance Sheet'!M26+'Balance Sheet'!M27)-('Balance Sheet'!L26+'Balance Sheet'!L27)</f>
        <v>81.188972739726069</v>
      </c>
      <c r="N13" s="263">
        <f>('Balance Sheet'!N26+'Balance Sheet'!N27)-('Balance Sheet'!M26+'Balance Sheet'!M27)</f>
        <v>111.08776</v>
      </c>
    </row>
    <row r="14" spans="1:14" x14ac:dyDescent="0.2">
      <c r="A14" s="35" t="s">
        <v>547</v>
      </c>
      <c r="B14" s="96" t="s">
        <v>199</v>
      </c>
      <c r="C14" s="263">
        <v>-1250</v>
      </c>
      <c r="D14" s="263">
        <v>-152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f>Assumptions!E104</f>
        <v>57</v>
      </c>
      <c r="K14" s="263">
        <f>Assumptions!F104</f>
        <v>0</v>
      </c>
      <c r="L14" s="263">
        <f>Assumptions!G104</f>
        <v>0</v>
      </c>
      <c r="M14" s="263">
        <f>Assumptions!H104</f>
        <v>0</v>
      </c>
      <c r="N14" s="263">
        <f>Assumptions!I104</f>
        <v>0</v>
      </c>
    </row>
    <row r="15" spans="1:14" x14ac:dyDescent="0.2">
      <c r="A15" s="35" t="s">
        <v>548</v>
      </c>
      <c r="B15" s="96" t="s">
        <v>199</v>
      </c>
      <c r="C15" s="263">
        <v>87</v>
      </c>
      <c r="D15" s="263">
        <v>-23</v>
      </c>
      <c r="E15" s="263">
        <v>0</v>
      </c>
      <c r="F15" s="263">
        <v>0</v>
      </c>
      <c r="G15" s="263">
        <v>0</v>
      </c>
      <c r="H15" s="263">
        <v>0</v>
      </c>
      <c r="I15" s="263">
        <v>0</v>
      </c>
      <c r="J15" s="263">
        <f>Assumptions!E105</f>
        <v>0</v>
      </c>
      <c r="K15" s="263">
        <f>Assumptions!F105</f>
        <v>0</v>
      </c>
      <c r="L15" s="263">
        <f>Assumptions!G105</f>
        <v>0</v>
      </c>
      <c r="M15" s="263">
        <f>Assumptions!H105</f>
        <v>0</v>
      </c>
      <c r="N15" s="263">
        <f>Assumptions!I105</f>
        <v>0</v>
      </c>
    </row>
    <row r="16" spans="1:14" x14ac:dyDescent="0.2">
      <c r="A16" s="108" t="s">
        <v>100</v>
      </c>
      <c r="B16" s="109" t="s">
        <v>374</v>
      </c>
      <c r="C16" s="265">
        <v>-78</v>
      </c>
      <c r="D16" s="265">
        <v>2580</v>
      </c>
      <c r="E16" s="265">
        <v>87</v>
      </c>
      <c r="F16" s="265">
        <v>-212</v>
      </c>
      <c r="G16" s="265">
        <v>123</v>
      </c>
      <c r="H16" s="265">
        <v>-667</v>
      </c>
      <c r="I16" s="265">
        <v>-99</v>
      </c>
      <c r="J16" s="265">
        <f>-('Balance Sheet'!J7-'Balance Sheet'!I7)-('Balance Sheet'!J40-'Balance Sheet'!I40)</f>
        <v>5</v>
      </c>
      <c r="K16" s="265">
        <f>-('Balance Sheet'!K7-'Balance Sheet'!J7)-('Balance Sheet'!K40-'Balance Sheet'!J40)</f>
        <v>0</v>
      </c>
      <c r="L16" s="265">
        <f>-('Balance Sheet'!L7-'Balance Sheet'!K7)-('Balance Sheet'!L40-'Balance Sheet'!K40)</f>
        <v>0</v>
      </c>
      <c r="M16" s="265">
        <f>-('Balance Sheet'!M7-'Balance Sheet'!L7)-('Balance Sheet'!M40-'Balance Sheet'!L40)</f>
        <v>0</v>
      </c>
      <c r="N16" s="265">
        <f>-('Balance Sheet'!N7-'Balance Sheet'!M7)-('Balance Sheet'!N40-'Balance Sheet'!M40)</f>
        <v>0</v>
      </c>
    </row>
    <row r="17" spans="1:14" x14ac:dyDescent="0.2">
      <c r="A17" s="19" t="s">
        <v>101</v>
      </c>
      <c r="B17" s="92" t="s">
        <v>374</v>
      </c>
      <c r="C17" s="268">
        <f t="shared" ref="C17:N17" si="0">SUM(C5:C16)</f>
        <v>-1244</v>
      </c>
      <c r="D17" s="268">
        <f t="shared" si="0"/>
        <v>2829</v>
      </c>
      <c r="E17" s="268">
        <f t="shared" si="0"/>
        <v>4038</v>
      </c>
      <c r="F17" s="268">
        <f t="shared" si="0"/>
        <v>-1585</v>
      </c>
      <c r="G17" s="268">
        <f t="shared" si="0"/>
        <v>923</v>
      </c>
      <c r="H17" s="268">
        <f t="shared" si="0"/>
        <v>3104</v>
      </c>
      <c r="I17" s="268">
        <f t="shared" si="0"/>
        <v>2426</v>
      </c>
      <c r="J17" s="268">
        <f t="shared" si="0"/>
        <v>2819.0395351106849</v>
      </c>
      <c r="K17" s="268">
        <f t="shared" si="0"/>
        <v>3559.5248643260275</v>
      </c>
      <c r="L17" s="268">
        <f t="shared" si="0"/>
        <v>4439.5725739636991</v>
      </c>
      <c r="M17" s="268">
        <f t="shared" si="0"/>
        <v>5159.3274814117467</v>
      </c>
      <c r="N17" s="268">
        <f t="shared" si="0"/>
        <v>5961.4778341476149</v>
      </c>
    </row>
    <row r="18" spans="1:14" x14ac:dyDescent="0.2">
      <c r="A18" s="93"/>
      <c r="B18" s="9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4" x14ac:dyDescent="0.2">
      <c r="A19" s="110" t="s">
        <v>102</v>
      </c>
      <c r="B19" s="125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spans="1:14" x14ac:dyDescent="0.2">
      <c r="A20" s="35" t="s">
        <v>103</v>
      </c>
      <c r="B20" s="96" t="s">
        <v>374</v>
      </c>
      <c r="C20" s="263">
        <v>-30</v>
      </c>
      <c r="D20" s="263">
        <v>36</v>
      </c>
      <c r="E20" s="263">
        <v>-460</v>
      </c>
      <c r="F20" s="263">
        <v>-495</v>
      </c>
      <c r="G20" s="263">
        <v>121</v>
      </c>
      <c r="H20" s="263">
        <v>57</v>
      </c>
      <c r="I20" s="263">
        <v>-521</v>
      </c>
      <c r="J20" s="263">
        <f>-Assumptions!E89</f>
        <v>-171.15722000000002</v>
      </c>
      <c r="K20" s="263">
        <f>-Assumptions!F89</f>
        <v>-204.9</v>
      </c>
      <c r="L20" s="263">
        <f>-Assumptions!G89</f>
        <v>-226.75700000000001</v>
      </c>
      <c r="M20" s="263">
        <f>-Assumptions!H89</f>
        <v>-255.27599999999998</v>
      </c>
      <c r="N20" s="263">
        <f>-Assumptions!I89</f>
        <v>-292.315</v>
      </c>
    </row>
    <row r="21" spans="1:14" x14ac:dyDescent="0.2">
      <c r="A21" s="108" t="s">
        <v>104</v>
      </c>
      <c r="B21" s="109" t="s">
        <v>374</v>
      </c>
      <c r="C21" s="265">
        <v>-6</v>
      </c>
      <c r="D21" s="265">
        <v>34</v>
      </c>
      <c r="E21" s="265">
        <v>-71</v>
      </c>
      <c r="F21" s="265">
        <v>-186</v>
      </c>
      <c r="G21" s="265">
        <v>-31</v>
      </c>
      <c r="H21" s="265">
        <v>0</v>
      </c>
      <c r="I21" s="265">
        <v>-742</v>
      </c>
      <c r="J21" s="265">
        <v>0</v>
      </c>
      <c r="K21" s="265">
        <v>0</v>
      </c>
      <c r="L21" s="265">
        <v>0</v>
      </c>
      <c r="M21" s="265">
        <v>0</v>
      </c>
      <c r="N21" s="265">
        <v>0</v>
      </c>
    </row>
    <row r="22" spans="1:14" x14ac:dyDescent="0.2">
      <c r="A22" s="35" t="s">
        <v>105</v>
      </c>
      <c r="B22" s="96" t="s">
        <v>374</v>
      </c>
      <c r="C22" s="263">
        <v>0</v>
      </c>
      <c r="D22" s="263">
        <v>0</v>
      </c>
      <c r="E22" s="263">
        <v>-212</v>
      </c>
      <c r="F22" s="263">
        <v>120</v>
      </c>
      <c r="G22" s="263">
        <v>-73</v>
      </c>
      <c r="H22" s="263">
        <v>-175</v>
      </c>
      <c r="I22" s="263">
        <v>-789</v>
      </c>
      <c r="J22" s="263">
        <v>0</v>
      </c>
      <c r="K22" s="263">
        <v>0</v>
      </c>
      <c r="L22" s="263">
        <v>0</v>
      </c>
      <c r="M22" s="263">
        <v>0</v>
      </c>
      <c r="N22" s="263">
        <v>0</v>
      </c>
    </row>
    <row r="23" spans="1:14" x14ac:dyDescent="0.2">
      <c r="A23" s="108" t="s">
        <v>106</v>
      </c>
      <c r="B23" s="109" t="s">
        <v>374</v>
      </c>
      <c r="C23" s="265">
        <v>-69</v>
      </c>
      <c r="D23" s="265">
        <v>-19</v>
      </c>
      <c r="E23" s="265">
        <v>-382</v>
      </c>
      <c r="F23" s="265">
        <v>-103</v>
      </c>
      <c r="G23" s="265">
        <v>-12</v>
      </c>
      <c r="H23" s="265">
        <v>-83</v>
      </c>
      <c r="I23" s="265">
        <v>2</v>
      </c>
      <c r="J23" s="265">
        <v>0</v>
      </c>
      <c r="K23" s="265">
        <v>0</v>
      </c>
      <c r="L23" s="265">
        <v>0</v>
      </c>
      <c r="M23" s="265">
        <v>0</v>
      </c>
      <c r="N23" s="265">
        <v>0</v>
      </c>
    </row>
    <row r="24" spans="1:14" x14ac:dyDescent="0.2">
      <c r="A24" s="108" t="s">
        <v>549</v>
      </c>
      <c r="B24" s="109" t="s">
        <v>199</v>
      </c>
      <c r="C24" s="265">
        <v>0</v>
      </c>
      <c r="D24" s="265">
        <v>-623</v>
      </c>
      <c r="E24" s="265">
        <v>0</v>
      </c>
      <c r="F24" s="265">
        <v>0</v>
      </c>
      <c r="G24" s="265">
        <v>0</v>
      </c>
      <c r="H24" s="265">
        <v>0</v>
      </c>
      <c r="I24" s="265">
        <v>0</v>
      </c>
      <c r="J24" s="265">
        <f>Assumptions!E114</f>
        <v>-1277</v>
      </c>
      <c r="K24" s="265">
        <f>Assumptions!F114</f>
        <v>0</v>
      </c>
      <c r="L24" s="265">
        <f>Assumptions!G114</f>
        <v>0</v>
      </c>
      <c r="M24" s="265">
        <f>Assumptions!H114</f>
        <v>0</v>
      </c>
      <c r="N24" s="265">
        <f>Assumptions!I114</f>
        <v>0</v>
      </c>
    </row>
    <row r="25" spans="1:14" x14ac:dyDescent="0.2">
      <c r="A25" s="108" t="s">
        <v>550</v>
      </c>
      <c r="B25" s="109" t="s">
        <v>199</v>
      </c>
      <c r="C25" s="265">
        <v>-174</v>
      </c>
      <c r="D25" s="265">
        <v>432</v>
      </c>
      <c r="E25" s="265">
        <v>0</v>
      </c>
      <c r="F25" s="265">
        <v>0</v>
      </c>
      <c r="G25" s="265">
        <v>0</v>
      </c>
      <c r="H25" s="265">
        <v>0</v>
      </c>
      <c r="I25" s="265">
        <v>0</v>
      </c>
      <c r="J25" s="265">
        <f>Assumptions!E115</f>
        <v>-583</v>
      </c>
      <c r="K25" s="265">
        <f>Assumptions!F115</f>
        <v>0</v>
      </c>
      <c r="L25" s="265">
        <f>Assumptions!G115</f>
        <v>0</v>
      </c>
      <c r="M25" s="265">
        <f>Assumptions!H115</f>
        <v>0</v>
      </c>
      <c r="N25" s="265">
        <f>Assumptions!I115</f>
        <v>0</v>
      </c>
    </row>
    <row r="26" spans="1:14" x14ac:dyDescent="0.2">
      <c r="A26" s="19" t="s">
        <v>107</v>
      </c>
      <c r="B26" s="92" t="s">
        <v>374</v>
      </c>
      <c r="C26" s="268">
        <f t="shared" ref="C26:N26" si="1">SUM(C20:C25)</f>
        <v>-279</v>
      </c>
      <c r="D26" s="268">
        <f t="shared" si="1"/>
        <v>-140</v>
      </c>
      <c r="E26" s="268">
        <f t="shared" si="1"/>
        <v>-1125</v>
      </c>
      <c r="F26" s="268">
        <f t="shared" si="1"/>
        <v>-664</v>
      </c>
      <c r="G26" s="268">
        <f t="shared" si="1"/>
        <v>5</v>
      </c>
      <c r="H26" s="268">
        <f t="shared" si="1"/>
        <v>-201</v>
      </c>
      <c r="I26" s="268">
        <f t="shared" si="1"/>
        <v>-2050</v>
      </c>
      <c r="J26" s="268">
        <f t="shared" si="1"/>
        <v>-2031.1572200000001</v>
      </c>
      <c r="K26" s="268">
        <f t="shared" si="1"/>
        <v>-204.9</v>
      </c>
      <c r="L26" s="268">
        <f t="shared" si="1"/>
        <v>-226.75700000000001</v>
      </c>
      <c r="M26" s="268">
        <f t="shared" si="1"/>
        <v>-255.27599999999998</v>
      </c>
      <c r="N26" s="268">
        <f t="shared" si="1"/>
        <v>-292.315</v>
      </c>
    </row>
    <row r="27" spans="1:14" x14ac:dyDescent="0.2">
      <c r="A27" s="93"/>
      <c r="B27" s="9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</row>
    <row r="28" spans="1:14" x14ac:dyDescent="0.2">
      <c r="A28" s="110" t="s">
        <v>108</v>
      </c>
      <c r="B28" s="107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14" x14ac:dyDescent="0.2">
      <c r="A29" s="35" t="s">
        <v>109</v>
      </c>
      <c r="B29" s="96" t="s">
        <v>374</v>
      </c>
      <c r="C29" s="263">
        <v>0</v>
      </c>
      <c r="D29" s="263">
        <v>0</v>
      </c>
      <c r="E29" s="263">
        <v>3400</v>
      </c>
      <c r="F29" s="263">
        <v>0</v>
      </c>
      <c r="G29" s="263">
        <v>0</v>
      </c>
      <c r="H29" s="263">
        <v>1320</v>
      </c>
      <c r="I29" s="263">
        <v>3003</v>
      </c>
      <c r="J29" s="263">
        <f>Assumptions!E118</f>
        <v>0</v>
      </c>
      <c r="K29" s="263">
        <f>Assumptions!F118</f>
        <v>0</v>
      </c>
      <c r="L29" s="263">
        <f>Assumptions!G118</f>
        <v>0</v>
      </c>
      <c r="M29" s="263">
        <f>Assumptions!H118</f>
        <v>0</v>
      </c>
      <c r="N29" s="263">
        <f>Assumptions!I118</f>
        <v>0</v>
      </c>
    </row>
    <row r="30" spans="1:14" x14ac:dyDescent="0.2">
      <c r="A30" s="108" t="s">
        <v>110</v>
      </c>
      <c r="B30" s="109" t="s">
        <v>374</v>
      </c>
      <c r="C30" s="265">
        <v>0</v>
      </c>
      <c r="D30" s="265">
        <v>0</v>
      </c>
      <c r="E30" s="265">
        <v>0</v>
      </c>
      <c r="F30" s="265">
        <v>0</v>
      </c>
      <c r="G30" s="265">
        <v>-324</v>
      </c>
      <c r="H30" s="265">
        <v>0</v>
      </c>
      <c r="I30" s="265">
        <v>0</v>
      </c>
      <c r="J30" s="265">
        <f>-('Balance Sheet'!I45-'Balance Sheet'!J45)-J29</f>
        <v>-1712</v>
      </c>
      <c r="K30" s="265">
        <f>-('Balance Sheet'!J45-'Balance Sheet'!K45)-K29</f>
        <v>-270</v>
      </c>
      <c r="L30" s="265">
        <f>-('Balance Sheet'!K45-'Balance Sheet'!L45)-L29</f>
        <v>-1005</v>
      </c>
      <c r="M30" s="265">
        <f>-('Balance Sheet'!L45-'Balance Sheet'!M45)-M29</f>
        <v>-888</v>
      </c>
      <c r="N30" s="265">
        <f>-('Balance Sheet'!M45-'Balance Sheet'!N45)-N29</f>
        <v>-1150</v>
      </c>
    </row>
    <row r="31" spans="1:14" x14ac:dyDescent="0.2">
      <c r="A31" s="35" t="s">
        <v>111</v>
      </c>
      <c r="B31" s="96" t="s">
        <v>374</v>
      </c>
      <c r="C31" s="263">
        <v>-17</v>
      </c>
      <c r="D31" s="263">
        <v>0</v>
      </c>
      <c r="E31" s="263">
        <v>-45</v>
      </c>
      <c r="F31" s="263">
        <v>-300</v>
      </c>
      <c r="G31" s="263">
        <v>-230</v>
      </c>
      <c r="H31" s="263">
        <v>0</v>
      </c>
      <c r="I31" s="263">
        <v>-1115</v>
      </c>
      <c r="J31" s="263">
        <f>Assumptions!E120</f>
        <v>-1500</v>
      </c>
      <c r="K31" s="263">
        <f>Assumptions!F120</f>
        <v>-1500</v>
      </c>
      <c r="L31" s="263">
        <f>Assumptions!G120</f>
        <v>-1500</v>
      </c>
      <c r="M31" s="263">
        <f>Assumptions!H120</f>
        <v>-1500</v>
      </c>
      <c r="N31" s="263">
        <f>Assumptions!I120</f>
        <v>-1500</v>
      </c>
    </row>
    <row r="32" spans="1:14" x14ac:dyDescent="0.2">
      <c r="A32" s="108" t="s">
        <v>112</v>
      </c>
      <c r="B32" s="109" t="s">
        <v>374</v>
      </c>
      <c r="C32" s="265">
        <v>0</v>
      </c>
      <c r="D32" s="265">
        <v>19</v>
      </c>
      <c r="E32" s="265">
        <v>0</v>
      </c>
      <c r="F32" s="265">
        <v>0</v>
      </c>
      <c r="G32" s="265">
        <v>0</v>
      </c>
      <c r="H32" s="265">
        <v>9</v>
      </c>
      <c r="I32" s="265">
        <v>0</v>
      </c>
      <c r="J32" s="265">
        <f>Assumptions!E121</f>
        <v>100</v>
      </c>
      <c r="K32" s="265">
        <f>Assumptions!F121</f>
        <v>100</v>
      </c>
      <c r="L32" s="265">
        <f>Assumptions!G121</f>
        <v>100</v>
      </c>
      <c r="M32" s="265">
        <f>Assumptions!H121</f>
        <v>100</v>
      </c>
      <c r="N32" s="265">
        <f>Assumptions!I121</f>
        <v>100</v>
      </c>
    </row>
    <row r="33" spans="1:14" x14ac:dyDescent="0.2">
      <c r="A33" s="35" t="s">
        <v>113</v>
      </c>
      <c r="B33" s="96" t="s">
        <v>374</v>
      </c>
      <c r="C33" s="263">
        <v>0</v>
      </c>
      <c r="D33" s="263">
        <v>0</v>
      </c>
      <c r="E33" s="263">
        <v>6621</v>
      </c>
      <c r="F33" s="263">
        <v>-5539</v>
      </c>
      <c r="G33" s="263">
        <v>-257</v>
      </c>
      <c r="H33" s="263">
        <v>1574</v>
      </c>
      <c r="I33" s="263">
        <v>-1148</v>
      </c>
      <c r="J33" s="263">
        <f>Assumptions!E122</f>
        <v>0</v>
      </c>
      <c r="K33" s="263">
        <f>Assumptions!F122</f>
        <v>0</v>
      </c>
      <c r="L33" s="263">
        <f>Assumptions!G122</f>
        <v>0</v>
      </c>
      <c r="M33" s="263">
        <f>Assumptions!H122</f>
        <v>0</v>
      </c>
      <c r="N33" s="263">
        <f>Assumptions!I122</f>
        <v>0</v>
      </c>
    </row>
    <row r="34" spans="1:14" x14ac:dyDescent="0.2">
      <c r="A34" s="19" t="s">
        <v>114</v>
      </c>
      <c r="B34" s="92" t="s">
        <v>374</v>
      </c>
      <c r="C34" s="268">
        <f t="shared" ref="C34:K34" si="2">SUM(C29:C33)</f>
        <v>-17</v>
      </c>
      <c r="D34" s="268">
        <f t="shared" si="2"/>
        <v>19</v>
      </c>
      <c r="E34" s="268">
        <f t="shared" si="2"/>
        <v>9976</v>
      </c>
      <c r="F34" s="268">
        <f t="shared" si="2"/>
        <v>-5839</v>
      </c>
      <c r="G34" s="268">
        <f t="shared" si="2"/>
        <v>-811</v>
      </c>
      <c r="H34" s="268">
        <f t="shared" si="2"/>
        <v>2903</v>
      </c>
      <c r="I34" s="268">
        <f t="shared" si="2"/>
        <v>740</v>
      </c>
      <c r="J34" s="268">
        <f t="shared" si="2"/>
        <v>-3112</v>
      </c>
      <c r="K34" s="268">
        <f t="shared" si="2"/>
        <v>-1670</v>
      </c>
      <c r="L34" s="268">
        <f>SUM(L29:L33)</f>
        <v>-2405</v>
      </c>
      <c r="M34" s="268">
        <f>SUM(M29:M33)</f>
        <v>-2288</v>
      </c>
      <c r="N34" s="268">
        <f>SUM(N29:N33)</f>
        <v>-2550</v>
      </c>
    </row>
    <row r="35" spans="1:14" x14ac:dyDescent="0.2">
      <c r="A35" s="93"/>
      <c r="B35" s="9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</row>
    <row r="36" spans="1:14" x14ac:dyDescent="0.2">
      <c r="A36" s="98" t="s">
        <v>115</v>
      </c>
      <c r="B36" s="99" t="s">
        <v>374</v>
      </c>
      <c r="C36" s="273">
        <f t="shared" ref="C36:K36" si="3">C17+C26+C34</f>
        <v>-1540</v>
      </c>
      <c r="D36" s="273">
        <f t="shared" si="3"/>
        <v>2708</v>
      </c>
      <c r="E36" s="273">
        <f t="shared" si="3"/>
        <v>12889</v>
      </c>
      <c r="F36" s="273">
        <f t="shared" si="3"/>
        <v>-8088</v>
      </c>
      <c r="G36" s="273">
        <f t="shared" si="3"/>
        <v>117</v>
      </c>
      <c r="H36" s="273">
        <f t="shared" si="3"/>
        <v>5806</v>
      </c>
      <c r="I36" s="273">
        <f t="shared" si="3"/>
        <v>1116</v>
      </c>
      <c r="J36" s="273">
        <f t="shared" si="3"/>
        <v>-2324.1176848893151</v>
      </c>
      <c r="K36" s="273">
        <f t="shared" si="3"/>
        <v>1684.6248643260274</v>
      </c>
      <c r="L36" s="273">
        <f>L17+L26+L34</f>
        <v>1807.8155739636995</v>
      </c>
      <c r="M36" s="273">
        <f>M17+M26+M34</f>
        <v>2616.0514814117469</v>
      </c>
      <c r="N36" s="273">
        <f>N17+N26+N34</f>
        <v>3119.1628341476153</v>
      </c>
    </row>
    <row r="37" spans="1:14" x14ac:dyDescent="0.2">
      <c r="A37" s="93"/>
      <c r="B37" s="9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</row>
    <row r="38" spans="1:14" outlineLevel="1" x14ac:dyDescent="0.2">
      <c r="A38" s="110" t="s">
        <v>44</v>
      </c>
      <c r="B38" s="107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</row>
    <row r="39" spans="1:14" outlineLevel="1" x14ac:dyDescent="0.2">
      <c r="A39" s="35" t="s">
        <v>116</v>
      </c>
      <c r="B39" s="96" t="s">
        <v>374</v>
      </c>
      <c r="C39" s="269">
        <f t="shared" ref="C39:K39" si="4">C17+C20</f>
        <v>-1274</v>
      </c>
      <c r="D39" s="269">
        <f t="shared" si="4"/>
        <v>2865</v>
      </c>
      <c r="E39" s="269">
        <f t="shared" si="4"/>
        <v>3578</v>
      </c>
      <c r="F39" s="269">
        <f t="shared" si="4"/>
        <v>-2080</v>
      </c>
      <c r="G39" s="269">
        <f t="shared" si="4"/>
        <v>1044</v>
      </c>
      <c r="H39" s="269">
        <f t="shared" si="4"/>
        <v>3161</v>
      </c>
      <c r="I39" s="269">
        <f t="shared" si="4"/>
        <v>1905</v>
      </c>
      <c r="J39" s="269">
        <f t="shared" si="4"/>
        <v>2647.8823151106849</v>
      </c>
      <c r="K39" s="269">
        <f t="shared" si="4"/>
        <v>3354.6248643260274</v>
      </c>
      <c r="L39" s="269">
        <f>L17+L20</f>
        <v>4212.8155739636995</v>
      </c>
      <c r="M39" s="269">
        <f>M17+M20</f>
        <v>4904.0514814117469</v>
      </c>
      <c r="N39" s="269">
        <f>N17+N20</f>
        <v>5669.1628341476153</v>
      </c>
    </row>
    <row r="40" spans="1:14" outlineLevel="1" x14ac:dyDescent="0.2">
      <c r="A40" s="108" t="s">
        <v>117</v>
      </c>
      <c r="B40" s="109" t="s">
        <v>202</v>
      </c>
      <c r="C40" s="122">
        <f t="shared" ref="C40:K40" si="5">IF(C5=0,0,C39/C5)</f>
        <v>42.466666666666669</v>
      </c>
      <c r="D40" s="122">
        <f t="shared" si="5"/>
        <v>8.8975155279503113</v>
      </c>
      <c r="E40" s="122">
        <f t="shared" si="5"/>
        <v>0.98730684326710816</v>
      </c>
      <c r="F40" s="122">
        <f t="shared" si="5"/>
        <v>0.79238095238095241</v>
      </c>
      <c r="G40" s="122">
        <f t="shared" si="5"/>
        <v>10.989473684210527</v>
      </c>
      <c r="H40" s="122">
        <f t="shared" si="5"/>
        <v>1.2256688639007367</v>
      </c>
      <c r="I40" s="122">
        <f t="shared" si="5"/>
        <v>1.5119047619047619</v>
      </c>
      <c r="J40" s="122">
        <f t="shared" si="5"/>
        <v>1.9866213337929182</v>
      </c>
      <c r="K40" s="122">
        <f t="shared" si="5"/>
        <v>1.606042605211996</v>
      </c>
      <c r="L40" s="123">
        <f>IF(L5=0,0,L39/L5)</f>
        <v>1.3998522891359126</v>
      </c>
      <c r="M40" s="122">
        <f>IF(M5=0,0,M39/M5)</f>
        <v>1.3777772738937357</v>
      </c>
      <c r="N40" s="122">
        <f>IF(N5=0,0,N39/N5)</f>
        <v>1.3270088786662528</v>
      </c>
    </row>
    <row r="41" spans="1:14" x14ac:dyDescent="0.2">
      <c r="A41" s="20"/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">
      <c r="A42" s="20"/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0"/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</sheetData>
  <pageMargins left="0.75" right="0.75" top="1" bottom="1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3910-67B6-2447-9223-C6E8BFA608D1}">
  <sheetPr>
    <tabColor rgb="FF8B6914"/>
  </sheetPr>
  <dimension ref="A1:R78"/>
  <sheetViews>
    <sheetView showGridLines="0" zoomScaleNormal="100" workbookViewId="0">
      <selection activeCell="D78" sqref="D7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" x14ac:dyDescent="0.2"/>
  <cols>
    <col min="1" max="1" width="30.83203125" customWidth="1"/>
    <col min="2" max="2" width="5.83203125" style="211" customWidth="1"/>
    <col min="3" max="11" width="10.83203125" customWidth="1"/>
    <col min="12" max="12" width="5.83203125" customWidth="1"/>
    <col min="13" max="13" width="30.83203125" customWidth="1"/>
    <col min="14" max="18" width="10.83203125" customWidth="1"/>
  </cols>
  <sheetData>
    <row r="1" spans="1:18" ht="21" x14ac:dyDescent="0.25">
      <c r="A1" s="195" t="s">
        <v>234</v>
      </c>
      <c r="B1" s="19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">
      <c r="A2" s="9"/>
      <c r="B2" s="103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">
      <c r="A3" s="15"/>
      <c r="B3" s="19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2">
      <c r="A4" s="146" t="s">
        <v>345</v>
      </c>
      <c r="B4" s="198"/>
      <c r="C4" s="146"/>
      <c r="D4" s="146"/>
      <c r="E4" s="146"/>
      <c r="F4" s="146"/>
      <c r="G4" s="146"/>
      <c r="H4" s="146"/>
      <c r="I4" s="146"/>
      <c r="J4" s="146"/>
      <c r="K4" s="146"/>
      <c r="L4" s="159"/>
      <c r="M4" s="146" t="s">
        <v>291</v>
      </c>
      <c r="N4" s="146"/>
      <c r="O4" s="146"/>
      <c r="P4" s="151"/>
      <c r="Q4" s="151"/>
      <c r="R4" s="151"/>
    </row>
    <row r="5" spans="1:18" x14ac:dyDescent="0.2">
      <c r="A5" s="126" t="s">
        <v>235</v>
      </c>
      <c r="B5" s="177"/>
      <c r="C5" s="148" t="s">
        <v>236</v>
      </c>
      <c r="D5" s="126" t="s">
        <v>194</v>
      </c>
      <c r="E5" s="126"/>
      <c r="F5" s="126"/>
      <c r="G5" s="126"/>
      <c r="H5" s="126"/>
      <c r="I5" s="126"/>
      <c r="J5" s="126"/>
      <c r="K5" s="126"/>
      <c r="L5" s="159"/>
      <c r="M5" s="126"/>
      <c r="N5" s="126" t="s">
        <v>292</v>
      </c>
      <c r="O5" s="126" t="s">
        <v>350</v>
      </c>
      <c r="P5" s="152"/>
      <c r="Q5" s="152"/>
      <c r="R5" s="152"/>
    </row>
    <row r="6" spans="1:18" x14ac:dyDescent="0.2">
      <c r="A6" s="33" t="s">
        <v>237</v>
      </c>
      <c r="B6" s="96" t="s">
        <v>195</v>
      </c>
      <c r="C6" s="226">
        <v>4.02E-2</v>
      </c>
      <c r="D6" s="229" t="s">
        <v>238</v>
      </c>
      <c r="E6" s="230"/>
      <c r="F6" s="231"/>
      <c r="G6" s="231"/>
      <c r="H6" s="231"/>
      <c r="I6" s="231"/>
      <c r="J6" s="231"/>
      <c r="K6" s="231"/>
      <c r="L6" s="158"/>
      <c r="M6" s="33" t="s">
        <v>554</v>
      </c>
      <c r="N6" s="127">
        <f>C23</f>
        <v>0.14325137174314129</v>
      </c>
      <c r="O6" s="127">
        <v>0.1479</v>
      </c>
      <c r="P6" s="127"/>
      <c r="Q6" s="127"/>
      <c r="R6" s="127"/>
    </row>
    <row r="7" spans="1:18" x14ac:dyDescent="0.2">
      <c r="A7" s="34" t="s">
        <v>239</v>
      </c>
      <c r="B7" s="109" t="s">
        <v>195</v>
      </c>
      <c r="C7" s="228">
        <v>4.2299999999999997E-2</v>
      </c>
      <c r="D7" s="232" t="s">
        <v>349</v>
      </c>
      <c r="E7" s="233"/>
      <c r="F7" s="234"/>
      <c r="G7" s="234"/>
      <c r="H7" s="234"/>
      <c r="I7" s="234"/>
      <c r="J7" s="234"/>
      <c r="K7" s="234"/>
      <c r="L7" s="158"/>
      <c r="M7" s="34" t="s">
        <v>375</v>
      </c>
      <c r="N7" s="130">
        <f>C60</f>
        <v>37585.332780546029</v>
      </c>
      <c r="O7" s="130">
        <f>D60</f>
        <v>74727.886933653877</v>
      </c>
      <c r="P7" s="130"/>
      <c r="Q7" s="130"/>
      <c r="R7" s="130"/>
    </row>
    <row r="8" spans="1:18" x14ac:dyDescent="0.2">
      <c r="A8" s="33" t="s">
        <v>240</v>
      </c>
      <c r="B8" s="96" t="s">
        <v>202</v>
      </c>
      <c r="C8" s="235">
        <v>3.7</v>
      </c>
      <c r="D8" s="236" t="s">
        <v>241</v>
      </c>
      <c r="E8" s="237"/>
      <c r="F8" s="238"/>
      <c r="G8" s="238"/>
      <c r="H8" s="238"/>
      <c r="I8" s="238"/>
      <c r="J8" s="238"/>
      <c r="K8" s="238"/>
      <c r="L8" s="158"/>
      <c r="M8" s="33" t="s">
        <v>376</v>
      </c>
      <c r="N8" s="129">
        <f>C62</f>
        <v>41038.332780546029</v>
      </c>
      <c r="O8" s="129">
        <f>D62</f>
        <v>78180.886933653877</v>
      </c>
      <c r="P8" s="129"/>
      <c r="Q8" s="129"/>
      <c r="R8" s="129"/>
    </row>
    <row r="9" spans="1:18" x14ac:dyDescent="0.2">
      <c r="A9" s="34" t="s">
        <v>596</v>
      </c>
      <c r="B9" s="109" t="s">
        <v>202</v>
      </c>
      <c r="C9" s="474">
        <f>(2/3)*C8+(1/3)*1</f>
        <v>2.8000000000000003</v>
      </c>
      <c r="D9" s="240" t="s">
        <v>553</v>
      </c>
      <c r="E9" s="241"/>
      <c r="F9" s="242"/>
      <c r="G9" s="242"/>
      <c r="H9" s="242"/>
      <c r="I9" s="242"/>
      <c r="J9" s="242"/>
      <c r="K9" s="242"/>
      <c r="L9" s="158"/>
      <c r="M9" s="145" t="s">
        <v>293</v>
      </c>
      <c r="N9" s="155">
        <f>C64</f>
        <v>146.42248350968339</v>
      </c>
      <c r="O9" s="155">
        <f>D64</f>
        <v>278.94504606293231</v>
      </c>
      <c r="P9" s="155"/>
      <c r="Q9" s="155"/>
      <c r="R9" s="155"/>
    </row>
    <row r="10" spans="1:18" x14ac:dyDescent="0.2">
      <c r="A10" s="33" t="s">
        <v>597</v>
      </c>
      <c r="B10" s="96" t="s">
        <v>195</v>
      </c>
      <c r="C10" s="243">
        <f>C6+C9*C7</f>
        <v>0.15864</v>
      </c>
      <c r="D10" s="229" t="s">
        <v>351</v>
      </c>
      <c r="E10" s="230"/>
      <c r="F10" s="231"/>
      <c r="G10" s="231"/>
      <c r="H10" s="231"/>
      <c r="I10" s="231"/>
      <c r="J10" s="231"/>
      <c r="K10" s="231"/>
      <c r="L10" s="158"/>
      <c r="M10" s="135" t="s">
        <v>599</v>
      </c>
      <c r="N10" s="14">
        <f>C67</f>
        <v>-0.28574398287959324</v>
      </c>
      <c r="O10" s="14">
        <f>D67</f>
        <v>0.36070754177040154</v>
      </c>
      <c r="P10" s="14"/>
      <c r="Q10" s="14"/>
      <c r="R10" s="14"/>
    </row>
    <row r="11" spans="1:18" x14ac:dyDescent="0.2">
      <c r="B11"/>
      <c r="L11" s="158"/>
      <c r="M11" s="15"/>
      <c r="N11" s="10"/>
      <c r="O11" s="10"/>
      <c r="P11" s="10"/>
      <c r="Q11" s="10"/>
      <c r="R11" s="10"/>
    </row>
    <row r="12" spans="1:18" x14ac:dyDescent="0.2">
      <c r="A12" s="33" t="s">
        <v>242</v>
      </c>
      <c r="B12" s="96" t="s">
        <v>195</v>
      </c>
      <c r="C12" s="226">
        <v>3.5000000000000003E-2</v>
      </c>
      <c r="D12" s="229" t="s">
        <v>243</v>
      </c>
      <c r="E12" s="230"/>
      <c r="F12" s="231"/>
      <c r="G12" s="231"/>
      <c r="H12" s="231"/>
      <c r="I12" s="231"/>
      <c r="J12" s="231"/>
      <c r="K12" s="231"/>
      <c r="L12" s="158"/>
      <c r="M12" s="135" t="s">
        <v>294</v>
      </c>
      <c r="N12" s="14">
        <f>C68</f>
        <v>0.77186305243553144</v>
      </c>
      <c r="O12" s="14">
        <f>D68</f>
        <v>0.88525564624406727</v>
      </c>
      <c r="P12" s="14"/>
      <c r="Q12" s="14"/>
      <c r="R12" s="14"/>
    </row>
    <row r="13" spans="1:18" x14ac:dyDescent="0.2">
      <c r="A13" s="139" t="s">
        <v>244</v>
      </c>
      <c r="B13" s="199" t="s">
        <v>195</v>
      </c>
      <c r="C13" s="244">
        <v>0.21</v>
      </c>
      <c r="D13" s="245" t="s">
        <v>245</v>
      </c>
      <c r="E13" s="246"/>
      <c r="F13" s="247"/>
      <c r="G13" s="247"/>
      <c r="H13" s="247"/>
      <c r="I13" s="247"/>
      <c r="J13" s="247"/>
      <c r="K13" s="247"/>
      <c r="L13" s="158"/>
      <c r="M13" s="140" t="s">
        <v>377</v>
      </c>
      <c r="N13" s="154">
        <f>C41</f>
        <v>8574.6030937485266</v>
      </c>
      <c r="O13" s="154">
        <f>C41</f>
        <v>8574.6030937485266</v>
      </c>
      <c r="P13" s="154"/>
      <c r="Q13" s="154"/>
      <c r="R13" s="154"/>
    </row>
    <row r="14" spans="1:18" x14ac:dyDescent="0.2">
      <c r="A14" s="15"/>
      <c r="B14" s="200"/>
      <c r="C14" s="15"/>
      <c r="D14" s="15"/>
      <c r="E14" s="15"/>
      <c r="F14" s="15"/>
      <c r="G14" s="15"/>
      <c r="H14" s="15"/>
      <c r="I14" s="158"/>
      <c r="J14" s="158"/>
      <c r="K14" s="158"/>
      <c r="L14" s="158"/>
      <c r="M14" s="15"/>
      <c r="N14" s="15"/>
      <c r="O14" s="15"/>
      <c r="P14" s="15"/>
      <c r="Q14" s="15"/>
      <c r="R14" s="15"/>
    </row>
    <row r="15" spans="1:18" x14ac:dyDescent="0.2">
      <c r="A15" s="146" t="s">
        <v>592</v>
      </c>
      <c r="B15" s="198"/>
      <c r="C15" s="146"/>
      <c r="D15" s="146"/>
      <c r="E15" s="146"/>
      <c r="F15" s="146"/>
      <c r="G15" s="146"/>
      <c r="H15" s="146"/>
      <c r="I15" s="146"/>
      <c r="J15" s="146"/>
      <c r="K15" s="146"/>
      <c r="L15" s="159"/>
      <c r="M15" s="32" t="s">
        <v>295</v>
      </c>
      <c r="N15" s="153">
        <f>C9</f>
        <v>2.8000000000000003</v>
      </c>
      <c r="O15" s="153">
        <v>2.8</v>
      </c>
      <c r="P15" s="153"/>
      <c r="Q15" s="153"/>
      <c r="R15" s="153"/>
    </row>
    <row r="16" spans="1:18" x14ac:dyDescent="0.2">
      <c r="A16" s="33" t="s">
        <v>246</v>
      </c>
      <c r="B16" s="96" t="s">
        <v>199</v>
      </c>
      <c r="C16" s="256">
        <f>'Supporting Schedules'!I29*C66</f>
        <v>58835</v>
      </c>
      <c r="D16" s="257"/>
      <c r="E16" s="280"/>
      <c r="F16" s="258"/>
      <c r="G16" s="258"/>
      <c r="H16" s="258"/>
      <c r="I16" s="258"/>
      <c r="J16" s="258"/>
      <c r="K16" s="258"/>
      <c r="L16" s="158"/>
      <c r="M16" s="33" t="s">
        <v>296</v>
      </c>
      <c r="N16" s="127">
        <f>C6</f>
        <v>4.02E-2</v>
      </c>
      <c r="O16" s="127">
        <v>4.02E-2</v>
      </c>
      <c r="P16" s="127"/>
      <c r="Q16" s="127"/>
      <c r="R16" s="127"/>
    </row>
    <row r="17" spans="1:18" x14ac:dyDescent="0.2">
      <c r="A17" s="34" t="s">
        <v>247</v>
      </c>
      <c r="B17" s="109" t="s">
        <v>199</v>
      </c>
      <c r="C17" s="262">
        <f>'Balance Sheet'!I45</f>
        <v>7832</v>
      </c>
      <c r="D17" s="281"/>
      <c r="E17" s="282"/>
      <c r="F17" s="283"/>
      <c r="G17" s="283"/>
      <c r="H17" s="283"/>
      <c r="I17" s="283"/>
      <c r="J17" s="283"/>
      <c r="K17" s="283"/>
      <c r="L17" s="158"/>
      <c r="M17" s="34" t="s">
        <v>297</v>
      </c>
      <c r="N17" s="128">
        <f>C7</f>
        <v>4.2299999999999997E-2</v>
      </c>
      <c r="O17" s="128">
        <v>4.2299999999999997E-2</v>
      </c>
      <c r="P17" s="128"/>
      <c r="Q17" s="128"/>
      <c r="R17" s="128"/>
    </row>
    <row r="18" spans="1:18" x14ac:dyDescent="0.2">
      <c r="A18" s="134" t="s">
        <v>248</v>
      </c>
      <c r="B18" s="96" t="s">
        <v>199</v>
      </c>
      <c r="C18" s="284">
        <f>C16+C17</f>
        <v>66667</v>
      </c>
      <c r="D18" s="258"/>
      <c r="E18" s="285"/>
      <c r="F18" s="258"/>
      <c r="G18" s="258"/>
      <c r="H18" s="258"/>
      <c r="I18" s="258"/>
      <c r="J18" s="258"/>
      <c r="K18" s="258"/>
      <c r="L18" s="158"/>
      <c r="M18" s="33" t="s">
        <v>477</v>
      </c>
      <c r="N18" s="127">
        <f>C46</f>
        <v>0.06</v>
      </c>
      <c r="O18" s="212" t="s">
        <v>352</v>
      </c>
      <c r="P18" s="212"/>
      <c r="Q18" s="212"/>
      <c r="R18" s="212"/>
    </row>
    <row r="19" spans="1:18" x14ac:dyDescent="0.2">
      <c r="A19" s="135" t="s">
        <v>249</v>
      </c>
      <c r="B19" s="201" t="s">
        <v>195</v>
      </c>
      <c r="C19" s="248">
        <f>C16/C18</f>
        <v>0.88252058739706296</v>
      </c>
      <c r="D19" s="249"/>
      <c r="E19" s="248"/>
      <c r="F19" s="249"/>
      <c r="G19" s="249"/>
      <c r="H19" s="249"/>
      <c r="I19" s="249"/>
      <c r="J19" s="249"/>
      <c r="K19" s="249"/>
      <c r="L19" s="158"/>
      <c r="M19" s="34" t="s">
        <v>298</v>
      </c>
      <c r="N19" s="509">
        <f>C63</f>
        <v>280.2734375</v>
      </c>
      <c r="O19" s="509">
        <f>D63</f>
        <v>280.2734375</v>
      </c>
      <c r="P19" s="133"/>
      <c r="Q19" s="133"/>
      <c r="R19" s="133"/>
    </row>
    <row r="20" spans="1:18" x14ac:dyDescent="0.2">
      <c r="A20" s="140" t="s">
        <v>250</v>
      </c>
      <c r="B20" s="202" t="s">
        <v>195</v>
      </c>
      <c r="C20" s="250">
        <f>C17/C18</f>
        <v>0.11747941260293698</v>
      </c>
      <c r="D20" s="251"/>
      <c r="E20" s="250"/>
      <c r="F20" s="251"/>
      <c r="G20" s="251"/>
      <c r="H20" s="251"/>
      <c r="I20" s="251"/>
      <c r="J20" s="251"/>
      <c r="K20" s="251"/>
      <c r="L20" s="158"/>
      <c r="M20" s="141" t="s">
        <v>378</v>
      </c>
      <c r="N20" s="142">
        <f>C61</f>
        <v>3453</v>
      </c>
      <c r="O20" s="142">
        <v>3626</v>
      </c>
      <c r="P20" s="142"/>
      <c r="Q20" s="142"/>
      <c r="R20" s="142"/>
    </row>
    <row r="21" spans="1:18" x14ac:dyDescent="0.2">
      <c r="A21" s="15"/>
      <c r="B21" s="200"/>
      <c r="C21" s="15"/>
      <c r="D21" s="15"/>
      <c r="E21" s="15"/>
      <c r="F21" s="15"/>
      <c r="G21" s="15"/>
      <c r="H21" s="15"/>
      <c r="I21" s="15"/>
      <c r="J21" s="15"/>
      <c r="K21" s="15"/>
      <c r="L21" s="158"/>
      <c r="M21" s="7"/>
      <c r="N21" s="7"/>
      <c r="O21" s="7"/>
      <c r="P21" s="7"/>
      <c r="Q21" s="7"/>
      <c r="R21" s="7"/>
    </row>
    <row r="22" spans="1:18" x14ac:dyDescent="0.2">
      <c r="A22" s="146" t="s">
        <v>251</v>
      </c>
      <c r="B22" s="198"/>
      <c r="C22" s="146"/>
      <c r="D22" s="146"/>
      <c r="E22" s="146"/>
      <c r="F22" s="146"/>
      <c r="G22" s="146"/>
      <c r="H22" s="146"/>
      <c r="I22" s="146"/>
      <c r="J22" s="146"/>
      <c r="K22" s="146"/>
      <c r="L22" s="159"/>
      <c r="M22" s="167" t="s">
        <v>404</v>
      </c>
      <c r="N22" s="146"/>
      <c r="O22" s="146"/>
      <c r="P22" s="146"/>
      <c r="Q22" s="146"/>
      <c r="R22" s="146"/>
    </row>
    <row r="23" spans="1:18" x14ac:dyDescent="0.2">
      <c r="A23" s="145" t="s">
        <v>554</v>
      </c>
      <c r="B23" s="203" t="s">
        <v>195</v>
      </c>
      <c r="C23" s="252">
        <f>C19*C10+C20*C12*(1-C13)</f>
        <v>0.14325137174314129</v>
      </c>
      <c r="D23" s="253"/>
      <c r="E23" s="254"/>
      <c r="F23" s="255"/>
      <c r="G23" s="255"/>
      <c r="H23" s="255"/>
      <c r="I23" s="255"/>
      <c r="J23" s="255"/>
      <c r="K23" s="255"/>
      <c r="L23" s="158"/>
      <c r="M23" s="32" t="s">
        <v>401</v>
      </c>
      <c r="N23" s="32"/>
      <c r="O23" s="32"/>
      <c r="P23" s="32"/>
      <c r="Q23" s="32"/>
      <c r="R23" s="32"/>
    </row>
    <row r="24" spans="1:18" x14ac:dyDescent="0.2">
      <c r="A24" s="15"/>
      <c r="B24" s="200"/>
      <c r="C24" s="15"/>
      <c r="D24" s="15"/>
      <c r="E24" s="15"/>
      <c r="F24" s="15"/>
      <c r="G24" s="15"/>
      <c r="H24" s="15"/>
      <c r="I24" s="158"/>
      <c r="J24" s="158"/>
      <c r="K24" s="158"/>
      <c r="L24" s="158"/>
      <c r="M24" s="179" t="s">
        <v>272</v>
      </c>
      <c r="N24" s="168">
        <v>0.04</v>
      </c>
      <c r="O24" s="168">
        <v>0.05</v>
      </c>
      <c r="P24" s="170">
        <v>0.06</v>
      </c>
      <c r="Q24" s="168">
        <v>7.0000000000000007E-2</v>
      </c>
      <c r="R24" s="168">
        <v>0.08</v>
      </c>
    </row>
    <row r="25" spans="1:18" x14ac:dyDescent="0.2">
      <c r="A25" s="146" t="s">
        <v>257</v>
      </c>
      <c r="B25" s="204"/>
      <c r="C25" s="146"/>
      <c r="D25" s="146"/>
      <c r="E25" s="146"/>
      <c r="F25" s="146"/>
      <c r="G25" s="146"/>
      <c r="H25" s="146"/>
      <c r="I25" s="150"/>
      <c r="J25" s="150"/>
      <c r="K25" s="150"/>
      <c r="L25" s="158"/>
      <c r="M25" s="213">
        <v>0.1</v>
      </c>
      <c r="N25" s="156">
        <f t="shared" ref="N25:R29" si="0">($G$33*(1+N$24)/($M25-N$24)/(1+$M25)^5+$C$41+$C$61)/$C$63</f>
        <v>213.79315973458051</v>
      </c>
      <c r="O25" s="156">
        <f t="shared" si="0"/>
        <v>249.94071293975927</v>
      </c>
      <c r="P25" s="169">
        <f t="shared" si="0"/>
        <v>304.16204274752727</v>
      </c>
      <c r="Q25" s="156">
        <f t="shared" si="0"/>
        <v>394.53092576047413</v>
      </c>
      <c r="R25" s="156">
        <f t="shared" si="0"/>
        <v>575.26869178636775</v>
      </c>
    </row>
    <row r="26" spans="1:18" x14ac:dyDescent="0.2">
      <c r="A26" s="126" t="s">
        <v>409</v>
      </c>
      <c r="B26" s="205"/>
      <c r="C26" s="148" t="s">
        <v>11</v>
      </c>
      <c r="D26" s="148" t="s">
        <v>12</v>
      </c>
      <c r="E26" s="148" t="s">
        <v>170</v>
      </c>
      <c r="F26" s="148" t="s">
        <v>171</v>
      </c>
      <c r="G26" s="148" t="s">
        <v>172</v>
      </c>
      <c r="H26" s="126"/>
      <c r="I26" s="126"/>
      <c r="J26" s="126"/>
      <c r="K26" s="126"/>
      <c r="L26" s="158"/>
      <c r="M26" s="214">
        <v>0.12</v>
      </c>
      <c r="N26" s="157">
        <f t="shared" si="0"/>
        <v>160.03195012941754</v>
      </c>
      <c r="O26" s="157">
        <f t="shared" si="0"/>
        <v>178.05012440931264</v>
      </c>
      <c r="P26" s="169">
        <f t="shared" si="0"/>
        <v>202.07435678250616</v>
      </c>
      <c r="Q26" s="157">
        <f t="shared" si="0"/>
        <v>235.70828210497703</v>
      </c>
      <c r="R26" s="157">
        <f t="shared" si="0"/>
        <v>286.15917008868337</v>
      </c>
    </row>
    <row r="27" spans="1:18" x14ac:dyDescent="0.2">
      <c r="A27" s="33" t="s">
        <v>252</v>
      </c>
      <c r="B27" s="96" t="s">
        <v>199</v>
      </c>
      <c r="C27" s="256">
        <f>'Income Statement'!J33</f>
        <v>1916.9308639999999</v>
      </c>
      <c r="D27" s="256">
        <f>'Income Statement'!K33</f>
        <v>2827.5899999999992</v>
      </c>
      <c r="E27" s="256">
        <f>'Income Statement'!L33</f>
        <v>3809.4876000000013</v>
      </c>
      <c r="F27" s="256">
        <f>'Income Statement'!M33</f>
        <v>4505.5914000000002</v>
      </c>
      <c r="G27" s="256">
        <f>'Income Statement'!N33</f>
        <v>5407.7974999999997</v>
      </c>
      <c r="H27" s="257"/>
      <c r="I27" s="257"/>
      <c r="J27" s="257"/>
      <c r="K27" s="257"/>
      <c r="L27" s="159"/>
      <c r="M27" s="215">
        <v>0.14000000000000001</v>
      </c>
      <c r="N27" s="475">
        <f t="shared" si="0"/>
        <v>128.67287168217587</v>
      </c>
      <c r="O27" s="475">
        <f t="shared" si="0"/>
        <v>139.11788471467239</v>
      </c>
      <c r="P27" s="476">
        <f t="shared" si="0"/>
        <v>152.174151005293</v>
      </c>
      <c r="Q27" s="475">
        <f t="shared" si="0"/>
        <v>168.96077909323381</v>
      </c>
      <c r="R27" s="475">
        <f t="shared" si="0"/>
        <v>191.34294987715489</v>
      </c>
    </row>
    <row r="28" spans="1:18" x14ac:dyDescent="0.2">
      <c r="A28" s="34" t="s">
        <v>253</v>
      </c>
      <c r="B28" s="109" t="s">
        <v>195</v>
      </c>
      <c r="C28" s="228">
        <f>1-$C$13</f>
        <v>0.79</v>
      </c>
      <c r="D28" s="228">
        <f>1-$C$13</f>
        <v>0.79</v>
      </c>
      <c r="E28" s="228">
        <f>1-$C$13</f>
        <v>0.79</v>
      </c>
      <c r="F28" s="228">
        <f>1-$C$13</f>
        <v>0.79</v>
      </c>
      <c r="G28" s="228">
        <f>1-$C$13</f>
        <v>0.79</v>
      </c>
      <c r="H28" s="232"/>
      <c r="I28" s="232"/>
      <c r="J28" s="232"/>
      <c r="K28" s="232"/>
      <c r="L28" s="159"/>
      <c r="M28" s="213">
        <v>0.16</v>
      </c>
      <c r="N28" s="156">
        <f t="shared" si="0"/>
        <v>108.42765615918393</v>
      </c>
      <c r="O28" s="156">
        <f t="shared" si="0"/>
        <v>115.07066779073446</v>
      </c>
      <c r="P28" s="169">
        <f t="shared" si="0"/>
        <v>123.04228174859509</v>
      </c>
      <c r="Q28" s="156">
        <f t="shared" si="0"/>
        <v>132.78536547486925</v>
      </c>
      <c r="R28" s="156">
        <f t="shared" si="0"/>
        <v>144.96422013271186</v>
      </c>
    </row>
    <row r="29" spans="1:18" x14ac:dyDescent="0.2">
      <c r="A29" s="173" t="s">
        <v>410</v>
      </c>
      <c r="B29" s="96" t="s">
        <v>199</v>
      </c>
      <c r="C29" s="285">
        <f>C27*C28</f>
        <v>1514.3753825599999</v>
      </c>
      <c r="D29" s="285">
        <f>D27*D28</f>
        <v>2233.7960999999996</v>
      </c>
      <c r="E29" s="285">
        <f>E27*E28</f>
        <v>3009.4952040000012</v>
      </c>
      <c r="F29" s="285">
        <f>F27*F28</f>
        <v>3559.4172060000005</v>
      </c>
      <c r="G29" s="285">
        <f>G27*G28</f>
        <v>4272.1600250000001</v>
      </c>
      <c r="H29" s="257"/>
      <c r="I29" s="257"/>
      <c r="J29" s="257"/>
      <c r="K29" s="257"/>
      <c r="L29" s="158"/>
      <c r="M29" s="214">
        <v>0.18</v>
      </c>
      <c r="N29" s="157">
        <f t="shared" si="0"/>
        <v>94.468268503329398</v>
      </c>
      <c r="O29" s="157">
        <f t="shared" si="0"/>
        <v>98.96784338557876</v>
      </c>
      <c r="P29" s="169">
        <f t="shared" si="0"/>
        <v>104.21734741486971</v>
      </c>
      <c r="Q29" s="157">
        <f t="shared" si="0"/>
        <v>110.42130672221353</v>
      </c>
      <c r="R29" s="157">
        <f t="shared" si="0"/>
        <v>117.86605789102614</v>
      </c>
    </row>
    <row r="30" spans="1:18" x14ac:dyDescent="0.2">
      <c r="A30" s="34" t="s">
        <v>254</v>
      </c>
      <c r="B30" s="109" t="s">
        <v>199</v>
      </c>
      <c r="C30" s="262">
        <f>'Income Statement'!J31</f>
        <v>427.40000000000003</v>
      </c>
      <c r="D30" s="262">
        <f>'Income Statement'!K31</f>
        <v>396.72147100000007</v>
      </c>
      <c r="E30" s="262">
        <f>'Income Statement'!L31</f>
        <v>400.37466195000002</v>
      </c>
      <c r="F30" s="262">
        <f>'Income Statement'!M31</f>
        <v>399.63994787750005</v>
      </c>
      <c r="G30" s="262">
        <f>'Income Statement'!N31</f>
        <v>419.87977654487497</v>
      </c>
      <c r="H30" s="281"/>
      <c r="I30" s="281"/>
      <c r="J30" s="281"/>
      <c r="K30" s="281"/>
      <c r="L30" s="158"/>
      <c r="M30" s="131"/>
      <c r="N30" s="131"/>
      <c r="O30" s="131"/>
      <c r="P30" s="131"/>
      <c r="Q30" s="131"/>
      <c r="R30" s="131"/>
    </row>
    <row r="31" spans="1:18" x14ac:dyDescent="0.2">
      <c r="A31" s="33" t="s">
        <v>255</v>
      </c>
      <c r="B31" s="96" t="s">
        <v>199</v>
      </c>
      <c r="C31" s="256">
        <f>-'Supporting Schedules'!J22</f>
        <v>-171.15722000000002</v>
      </c>
      <c r="D31" s="256">
        <f>-'Supporting Schedules'!K22</f>
        <v>-204.9</v>
      </c>
      <c r="E31" s="256">
        <f>-Assumptions!G89</f>
        <v>-226.75700000000001</v>
      </c>
      <c r="F31" s="256">
        <f>-Assumptions!H89</f>
        <v>-255.27599999999998</v>
      </c>
      <c r="G31" s="256">
        <f>-Assumptions!I89</f>
        <v>-292.315</v>
      </c>
      <c r="H31" s="257"/>
      <c r="I31" s="257"/>
      <c r="J31" s="257"/>
      <c r="K31" s="257"/>
      <c r="L31" s="158"/>
      <c r="M31" s="15"/>
      <c r="N31" s="15"/>
      <c r="O31" s="15"/>
      <c r="P31" s="15"/>
      <c r="Q31" s="15"/>
      <c r="R31" s="15"/>
    </row>
    <row r="32" spans="1:18" x14ac:dyDescent="0.2">
      <c r="A32" s="34" t="s">
        <v>256</v>
      </c>
      <c r="B32" s="109" t="s">
        <v>199</v>
      </c>
      <c r="C32" s="178">
        <f>'Supporting Schedules'!J42-'Supporting Schedules'!I42</f>
        <v>1638.466535449315</v>
      </c>
      <c r="D32" s="178">
        <f>'Supporting Schedules'!K42-'Supporting Schedules'!J42</f>
        <v>-20.041293326027244</v>
      </c>
      <c r="E32" s="178">
        <f>'Supporting Schedules'!L42-'Supporting Schedules'!K42</f>
        <v>40.68009198630125</v>
      </c>
      <c r="F32" s="178">
        <f>'Supporting Schedules'!M42-'Supporting Schedules'!L42</f>
        <v>-65.371027534246423</v>
      </c>
      <c r="G32" s="178">
        <f>'Supporting Schedules'!N42-'Supporting Schedules'!M42</f>
        <v>-50.201732602740094</v>
      </c>
      <c r="H32" s="281"/>
      <c r="I32" s="281"/>
      <c r="J32" s="281"/>
      <c r="K32" s="281"/>
      <c r="L32" s="158"/>
      <c r="M32" s="32" t="s">
        <v>405</v>
      </c>
      <c r="N32" s="32"/>
      <c r="O32" s="32"/>
      <c r="P32" s="32"/>
      <c r="Q32" s="32"/>
      <c r="R32" s="32"/>
    </row>
    <row r="33" spans="1:18" x14ac:dyDescent="0.2">
      <c r="A33" s="145" t="s">
        <v>257</v>
      </c>
      <c r="B33" s="203" t="s">
        <v>199</v>
      </c>
      <c r="C33" s="286">
        <f>C29+C30+C31-C32</f>
        <v>132.15162711068501</v>
      </c>
      <c r="D33" s="286">
        <f>D29+D30+D31-D32</f>
        <v>2445.6588643260266</v>
      </c>
      <c r="E33" s="286">
        <f>E29+E30+E31-E32</f>
        <v>3142.4327739637001</v>
      </c>
      <c r="F33" s="286">
        <f>F29+F30+F31-F32</f>
        <v>3769.1521814117473</v>
      </c>
      <c r="G33" s="286">
        <f>G29+G30+G31-G32</f>
        <v>4449.9265341476157</v>
      </c>
      <c r="H33" s="287"/>
      <c r="I33" s="287"/>
      <c r="J33" s="287"/>
      <c r="K33" s="287"/>
      <c r="L33" s="158"/>
      <c r="M33" s="179" t="s">
        <v>299</v>
      </c>
      <c r="N33" s="171">
        <v>14</v>
      </c>
      <c r="O33" s="171">
        <v>16</v>
      </c>
      <c r="P33" s="171">
        <v>18</v>
      </c>
      <c r="Q33" s="172">
        <v>20</v>
      </c>
      <c r="R33" s="171">
        <v>22</v>
      </c>
    </row>
    <row r="34" spans="1:18" x14ac:dyDescent="0.2">
      <c r="A34" s="15"/>
      <c r="B34" s="200"/>
      <c r="C34" s="13"/>
      <c r="D34" s="13"/>
      <c r="E34" s="13"/>
      <c r="F34" s="13"/>
      <c r="G34" s="13"/>
      <c r="H34" s="15"/>
      <c r="I34" s="158"/>
      <c r="J34" s="158"/>
      <c r="K34" s="158"/>
      <c r="L34" s="158"/>
      <c r="M34" s="213">
        <v>0.1</v>
      </c>
      <c r="N34" s="156">
        <f>($C$51*N$33/(1+$M34)^5+$C$41+$C$61)/$C$63</f>
        <v>265.53691825424647</v>
      </c>
      <c r="O34" s="156">
        <f>($C$51*O$33/(1+$M34)^5+$C$41+$C$61)/$C$63</f>
        <v>297.34021838912463</v>
      </c>
      <c r="P34" s="169">
        <f>($C$51*P$33/(1+$M34)^5+$C$41+$C$61)/$C$63</f>
        <v>329.14351852400284</v>
      </c>
      <c r="Q34" s="156">
        <f t="shared" ref="Q34:Q36" si="1">($C$51*Q$33/(1+$M34)^5+$C$41+$C$61)/$C$63</f>
        <v>360.94681865888106</v>
      </c>
      <c r="R34" s="156">
        <f>($C$51*R$33/(1+$M34)^5+$C$41+$C$61)/$C$63</f>
        <v>392.75011879375921</v>
      </c>
    </row>
    <row r="35" spans="1:18" x14ac:dyDescent="0.2">
      <c r="A35" s="146" t="s">
        <v>406</v>
      </c>
      <c r="B35" s="198"/>
      <c r="C35" s="146"/>
      <c r="D35" s="146"/>
      <c r="E35" s="146"/>
      <c r="F35" s="146"/>
      <c r="G35" s="146"/>
      <c r="H35" s="146"/>
      <c r="I35" s="150"/>
      <c r="J35" s="150"/>
      <c r="K35" s="150"/>
      <c r="L35" s="158"/>
      <c r="M35" s="214">
        <v>0.12</v>
      </c>
      <c r="N35" s="157">
        <f t="shared" ref="N35:O38" si="2">($C$51*N$33/(1+$M35)^5+$C$41+$C$61)/$C$63</f>
        <v>246.35718684474014</v>
      </c>
      <c r="O35" s="157">
        <f t="shared" si="2"/>
        <v>275.42052534968883</v>
      </c>
      <c r="P35" s="169">
        <f t="shared" ref="P35:P38" si="3">($C$51*P$33/(1+$M35)^5+$C$41+$C$61)/$C$63</f>
        <v>304.48386385463755</v>
      </c>
      <c r="Q35" s="156">
        <f t="shared" si="1"/>
        <v>333.54720235958621</v>
      </c>
      <c r="R35" s="156">
        <f>($C$51*R$33/(1+$M35)^5+$C$41+$C$61)/$C$63</f>
        <v>362.61054086453493</v>
      </c>
    </row>
    <row r="36" spans="1:18" x14ac:dyDescent="0.2">
      <c r="A36" s="126"/>
      <c r="B36" s="205"/>
      <c r="C36" s="148" t="s">
        <v>11</v>
      </c>
      <c r="D36" s="148" t="s">
        <v>12</v>
      </c>
      <c r="E36" s="148" t="s">
        <v>170</v>
      </c>
      <c r="F36" s="148" t="s">
        <v>171</v>
      </c>
      <c r="G36" s="148" t="s">
        <v>172</v>
      </c>
      <c r="H36" s="148"/>
      <c r="I36" s="126"/>
      <c r="J36" s="126"/>
      <c r="K36" s="126"/>
      <c r="L36" s="158"/>
      <c r="M36" s="215">
        <v>0.14000000000000001</v>
      </c>
      <c r="N36" s="475">
        <f t="shared" si="2"/>
        <v>229.1265600507551</v>
      </c>
      <c r="O36" s="475">
        <f t="shared" si="2"/>
        <v>255.72838044227737</v>
      </c>
      <c r="P36" s="477">
        <f t="shared" si="3"/>
        <v>282.33020083379961</v>
      </c>
      <c r="Q36" s="475">
        <f t="shared" si="1"/>
        <v>308.93202122532188</v>
      </c>
      <c r="R36" s="475">
        <f>($C$51*R$33/(1+$M36)^5+$C$41+$C$61)/$C$63</f>
        <v>335.53384161684414</v>
      </c>
    </row>
    <row r="37" spans="1:18" x14ac:dyDescent="0.2">
      <c r="A37" s="33" t="s">
        <v>407</v>
      </c>
      <c r="B37" s="96" t="s">
        <v>300</v>
      </c>
      <c r="C37" s="138">
        <v>1</v>
      </c>
      <c r="D37" s="138">
        <v>2</v>
      </c>
      <c r="E37" s="138">
        <v>3</v>
      </c>
      <c r="F37" s="138">
        <v>4</v>
      </c>
      <c r="G37" s="138">
        <v>5</v>
      </c>
      <c r="H37" s="288"/>
      <c r="I37" s="288"/>
      <c r="J37" s="288"/>
      <c r="K37" s="288"/>
      <c r="L37" s="159"/>
      <c r="M37" s="213">
        <v>0.16</v>
      </c>
      <c r="N37" s="156">
        <f t="shared" si="2"/>
        <v>213.61782111072299</v>
      </c>
      <c r="O37" s="156">
        <f t="shared" si="2"/>
        <v>238.0041073679549</v>
      </c>
      <c r="P37" s="169">
        <f t="shared" si="3"/>
        <v>262.3903936251869</v>
      </c>
      <c r="Q37" s="156">
        <f t="shared" ref="Q37:Q38" si="4">($C$51*Q$33/(1+$M37)^5+$C$41+$C$61)/$C$63</f>
        <v>286.77667988241893</v>
      </c>
      <c r="R37" s="156">
        <f>($C$51*R$33/(1+$M37)^5+$C$41+$C$61)/$C$63</f>
        <v>311.16296613965085</v>
      </c>
    </row>
    <row r="38" spans="1:18" x14ac:dyDescent="0.2">
      <c r="A38" s="34" t="s">
        <v>482</v>
      </c>
      <c r="B38" s="109" t="s">
        <v>195</v>
      </c>
      <c r="C38" s="227">
        <f>1/(1+C23)^C37</f>
        <v>0.87469827259011046</v>
      </c>
      <c r="D38" s="227">
        <f>1/(1+C23)^D37</f>
        <v>0.76509706807212319</v>
      </c>
      <c r="E38" s="227">
        <f>1/(1+C23)^E37</f>
        <v>0.6692290838064443</v>
      </c>
      <c r="F38" s="227">
        <f>1/(1+C23)^F37</f>
        <v>0.58537352357255901</v>
      </c>
      <c r="G38" s="227">
        <f>1/(1+C23)^G37</f>
        <v>0.51202520988890377</v>
      </c>
      <c r="H38" s="234"/>
      <c r="I38" s="234"/>
      <c r="J38" s="234"/>
      <c r="K38" s="234"/>
      <c r="L38" s="158"/>
      <c r="M38" s="214">
        <v>0.18</v>
      </c>
      <c r="N38" s="157">
        <f t="shared" si="2"/>
        <v>199.63352648204491</v>
      </c>
      <c r="O38" s="157">
        <f t="shared" si="2"/>
        <v>222.02205636375146</v>
      </c>
      <c r="P38" s="169">
        <f t="shared" si="3"/>
        <v>244.41058624545798</v>
      </c>
      <c r="Q38" s="157">
        <f t="shared" si="4"/>
        <v>266.7991161271645</v>
      </c>
      <c r="R38" s="157">
        <f>($C$51*R$33/(1+$M38)^5+$C$41+$C$61)/$C$63</f>
        <v>289.18764600887107</v>
      </c>
    </row>
    <row r="39" spans="1:18" x14ac:dyDescent="0.2">
      <c r="A39" s="33" t="s">
        <v>481</v>
      </c>
      <c r="B39" s="96" t="s">
        <v>199</v>
      </c>
      <c r="C39" s="284">
        <f>C33</f>
        <v>132.15162711068501</v>
      </c>
      <c r="D39" s="284">
        <f>D33</f>
        <v>2445.6588643260266</v>
      </c>
      <c r="E39" s="284">
        <f>E33</f>
        <v>3142.4327739637001</v>
      </c>
      <c r="F39" s="284">
        <f>F33</f>
        <v>3769.1521814117473</v>
      </c>
      <c r="G39" s="284">
        <f>G33</f>
        <v>4449.9265341476157</v>
      </c>
      <c r="H39" s="289"/>
      <c r="I39" s="289"/>
      <c r="J39" s="289"/>
      <c r="K39" s="289"/>
      <c r="L39" s="158"/>
      <c r="M39" s="7"/>
      <c r="N39" s="7"/>
      <c r="O39" s="7"/>
      <c r="P39" s="7"/>
      <c r="Q39" s="7"/>
      <c r="R39" s="7"/>
    </row>
    <row r="40" spans="1:18" x14ac:dyDescent="0.2">
      <c r="A40" s="34" t="s">
        <v>480</v>
      </c>
      <c r="B40" s="109" t="s">
        <v>199</v>
      </c>
      <c r="C40" s="290">
        <f>C38*C39</f>
        <v>115.5927999536886</v>
      </c>
      <c r="D40" s="290">
        <f>D38*D39</f>
        <v>1871.1664266004414</v>
      </c>
      <c r="E40" s="290">
        <f>E38*E39</f>
        <v>2103.0074062430704</v>
      </c>
      <c r="F40" s="290">
        <f>F38*F39</f>
        <v>2206.3618933141915</v>
      </c>
      <c r="G40" s="290">
        <f>G38*G39</f>
        <v>2278.4745676371349</v>
      </c>
      <c r="H40" s="283"/>
      <c r="I40" s="283"/>
      <c r="J40" s="283"/>
      <c r="K40" s="283"/>
      <c r="L40" s="158"/>
      <c r="M40" s="7"/>
      <c r="N40" s="7"/>
      <c r="O40" s="7"/>
      <c r="P40" s="7"/>
      <c r="Q40" s="7"/>
      <c r="R40" s="7"/>
    </row>
    <row r="41" spans="1:18" x14ac:dyDescent="0.2">
      <c r="A41" s="145" t="s">
        <v>258</v>
      </c>
      <c r="B41" s="203" t="s">
        <v>199</v>
      </c>
      <c r="C41" s="286">
        <f>SUM(C40:G40)</f>
        <v>8574.6030937485266</v>
      </c>
      <c r="D41" s="291"/>
      <c r="E41" s="291"/>
      <c r="F41" s="291"/>
      <c r="G41" s="291"/>
      <c r="H41" s="291"/>
      <c r="I41" s="291"/>
      <c r="J41" s="291"/>
      <c r="K41" s="291"/>
      <c r="L41" s="158"/>
      <c r="M41" s="7"/>
      <c r="N41" s="7"/>
      <c r="O41" s="7"/>
      <c r="P41" s="7"/>
      <c r="Q41" s="7"/>
      <c r="R41" s="7"/>
    </row>
    <row r="42" spans="1:18" x14ac:dyDescent="0.2">
      <c r="A42" s="15"/>
      <c r="B42" s="200"/>
      <c r="C42" s="15"/>
      <c r="D42" s="15"/>
      <c r="E42" s="15"/>
      <c r="F42" s="15"/>
      <c r="G42" s="15"/>
      <c r="H42" s="15"/>
      <c r="I42" s="15"/>
      <c r="J42" s="15"/>
      <c r="K42" s="15"/>
      <c r="L42" s="158"/>
    </row>
    <row r="43" spans="1:18" x14ac:dyDescent="0.2">
      <c r="A43" s="146" t="s">
        <v>346</v>
      </c>
      <c r="B43" s="204"/>
      <c r="C43" s="146"/>
      <c r="D43" s="146"/>
      <c r="E43" s="146"/>
      <c r="F43" s="146"/>
      <c r="G43" s="146"/>
      <c r="H43" s="146"/>
      <c r="I43" s="146"/>
      <c r="J43" s="146"/>
      <c r="K43" s="146"/>
      <c r="L43" s="158"/>
    </row>
    <row r="44" spans="1:18" x14ac:dyDescent="0.2">
      <c r="A44" s="146" t="s">
        <v>259</v>
      </c>
      <c r="B44" s="198"/>
      <c r="C44" s="146"/>
      <c r="D44" s="146"/>
      <c r="E44" s="146"/>
      <c r="F44" s="146"/>
      <c r="G44" s="146"/>
      <c r="H44" s="146"/>
      <c r="I44" s="146"/>
      <c r="J44" s="146"/>
      <c r="K44" s="146"/>
      <c r="L44" s="158"/>
    </row>
    <row r="45" spans="1:18" x14ac:dyDescent="0.2">
      <c r="A45" s="33" t="s">
        <v>260</v>
      </c>
      <c r="B45" s="96" t="s">
        <v>199</v>
      </c>
      <c r="C45" s="285">
        <f>'DCF Model'!G33</f>
        <v>4449.9265341476157</v>
      </c>
      <c r="D45" s="257"/>
      <c r="E45" s="257"/>
      <c r="F45" s="258"/>
      <c r="G45" s="258"/>
      <c r="H45" s="258"/>
      <c r="I45" s="258"/>
      <c r="J45" s="258"/>
      <c r="K45" s="258"/>
      <c r="L45" s="158"/>
    </row>
    <row r="46" spans="1:18" x14ac:dyDescent="0.2">
      <c r="A46" s="34" t="s">
        <v>600</v>
      </c>
      <c r="B46" s="109" t="s">
        <v>195</v>
      </c>
      <c r="C46" s="228">
        <v>0.06</v>
      </c>
      <c r="D46" s="232"/>
      <c r="E46" s="232"/>
      <c r="F46" s="234"/>
      <c r="G46" s="234"/>
      <c r="H46" s="234"/>
      <c r="I46" s="234"/>
      <c r="J46" s="234"/>
      <c r="K46" s="234"/>
      <c r="L46" s="158"/>
    </row>
    <row r="47" spans="1:18" x14ac:dyDescent="0.2">
      <c r="A47" s="33" t="s">
        <v>261</v>
      </c>
      <c r="B47" s="96" t="s">
        <v>199</v>
      </c>
      <c r="C47" s="284">
        <f>C45*(1+C46)/(C23-C46)</f>
        <v>56658.791650301901</v>
      </c>
      <c r="D47" s="257"/>
      <c r="E47" s="257"/>
      <c r="F47" s="258"/>
      <c r="G47" s="258"/>
      <c r="H47" s="258"/>
      <c r="I47" s="258"/>
      <c r="J47" s="258"/>
      <c r="K47" s="258"/>
      <c r="L47" s="158"/>
    </row>
    <row r="48" spans="1:18" x14ac:dyDescent="0.2">
      <c r="A48" s="144" t="s">
        <v>262</v>
      </c>
      <c r="B48" s="203" t="s">
        <v>199</v>
      </c>
      <c r="C48" s="286">
        <f>C47/(1+C23)^5</f>
        <v>29010.729686797498</v>
      </c>
      <c r="D48" s="292"/>
      <c r="E48" s="292"/>
      <c r="F48" s="291"/>
      <c r="G48" s="291"/>
      <c r="H48" s="291"/>
      <c r="I48" s="291"/>
      <c r="J48" s="291"/>
      <c r="K48" s="291"/>
      <c r="L48" s="158"/>
    </row>
    <row r="49" spans="1:12" x14ac:dyDescent="0.2">
      <c r="A49" s="15"/>
      <c r="B49" s="200"/>
      <c r="C49" s="15"/>
      <c r="D49" s="11"/>
      <c r="E49" s="11"/>
      <c r="F49" s="15"/>
      <c r="G49" s="15"/>
      <c r="H49" s="15"/>
      <c r="I49" s="15"/>
      <c r="J49" s="15"/>
      <c r="K49" s="15"/>
      <c r="L49" s="158"/>
    </row>
    <row r="50" spans="1:12" x14ac:dyDescent="0.2">
      <c r="A50" s="146" t="s">
        <v>263</v>
      </c>
      <c r="B50" s="198"/>
      <c r="C50" s="146"/>
      <c r="D50" s="147"/>
      <c r="E50" s="147"/>
      <c r="F50" s="146"/>
      <c r="G50" s="146"/>
      <c r="H50" s="146"/>
      <c r="I50" s="146"/>
      <c r="J50" s="146"/>
      <c r="K50" s="146"/>
      <c r="L50" s="158"/>
    </row>
    <row r="51" spans="1:12" x14ac:dyDescent="0.2">
      <c r="A51" s="33" t="s">
        <v>264</v>
      </c>
      <c r="B51" s="96" t="s">
        <v>199</v>
      </c>
      <c r="C51" s="256">
        <f>'Income Statement'!N48</f>
        <v>7177.7372765448754</v>
      </c>
      <c r="D51" s="257"/>
      <c r="E51" s="257"/>
      <c r="F51" s="258"/>
      <c r="G51" s="258"/>
      <c r="H51" s="258"/>
      <c r="I51" s="258"/>
      <c r="J51" s="258"/>
      <c r="K51" s="258"/>
      <c r="L51" s="158"/>
    </row>
    <row r="52" spans="1:12" x14ac:dyDescent="0.2">
      <c r="A52" s="34" t="s">
        <v>408</v>
      </c>
      <c r="B52" s="109" t="s">
        <v>202</v>
      </c>
      <c r="C52" s="239">
        <f>D78</f>
        <v>18</v>
      </c>
      <c r="D52" s="240"/>
      <c r="E52" s="240"/>
      <c r="F52" s="242"/>
      <c r="G52" s="242"/>
      <c r="H52" s="242"/>
      <c r="I52" s="242"/>
      <c r="J52" s="242"/>
      <c r="K52" s="242"/>
      <c r="L52" s="158"/>
    </row>
    <row r="53" spans="1:12" x14ac:dyDescent="0.2">
      <c r="A53" s="33" t="s">
        <v>261</v>
      </c>
      <c r="B53" s="96" t="s">
        <v>199</v>
      </c>
      <c r="C53" s="284">
        <f>C52*C51</f>
        <v>129199.27097780776</v>
      </c>
      <c r="D53" s="257"/>
      <c r="E53" s="257"/>
      <c r="F53" s="258"/>
      <c r="G53" s="258"/>
      <c r="H53" s="258"/>
      <c r="I53" s="258"/>
      <c r="J53" s="258"/>
      <c r="K53" s="258"/>
      <c r="L53" s="158"/>
    </row>
    <row r="54" spans="1:12" x14ac:dyDescent="0.2">
      <c r="A54" s="144" t="s">
        <v>262</v>
      </c>
      <c r="B54" s="203" t="s">
        <v>199</v>
      </c>
      <c r="C54" s="286">
        <f>C53/(1+C23)^5</f>
        <v>66153.283839905358</v>
      </c>
      <c r="D54" s="292"/>
      <c r="E54" s="292"/>
      <c r="F54" s="291"/>
      <c r="G54" s="291"/>
      <c r="H54" s="291"/>
      <c r="I54" s="291"/>
      <c r="J54" s="291"/>
      <c r="K54" s="291"/>
      <c r="L54" s="158"/>
    </row>
    <row r="55" spans="1:12" x14ac:dyDescent="0.2">
      <c r="A55" s="15"/>
      <c r="B55" s="200"/>
      <c r="C55" s="15"/>
      <c r="D55" s="15"/>
      <c r="E55" s="11"/>
      <c r="F55" s="15"/>
      <c r="G55" s="15"/>
      <c r="H55" s="15"/>
      <c r="I55" s="15"/>
      <c r="J55" s="15"/>
      <c r="K55" s="15"/>
      <c r="L55" s="158"/>
    </row>
    <row r="56" spans="1:12" x14ac:dyDescent="0.2">
      <c r="A56" s="146" t="s">
        <v>347</v>
      </c>
      <c r="B56" s="204"/>
      <c r="C56" s="146"/>
      <c r="D56" s="146"/>
      <c r="E56" s="147"/>
      <c r="F56" s="146"/>
      <c r="G56" s="146"/>
      <c r="H56" s="146"/>
      <c r="I56" s="146"/>
      <c r="J56" s="146"/>
      <c r="K56" s="146"/>
      <c r="L56" s="158"/>
    </row>
    <row r="57" spans="1:12" x14ac:dyDescent="0.2">
      <c r="A57" s="126"/>
      <c r="B57" s="205"/>
      <c r="C57" s="165" t="s">
        <v>401</v>
      </c>
      <c r="D57" s="165" t="s">
        <v>402</v>
      </c>
      <c r="E57" s="149"/>
      <c r="F57" s="126"/>
      <c r="G57" s="126"/>
      <c r="H57" s="126"/>
      <c r="I57" s="126"/>
      <c r="J57" s="126"/>
      <c r="K57" s="126"/>
      <c r="L57" s="158"/>
    </row>
    <row r="58" spans="1:12" x14ac:dyDescent="0.2">
      <c r="A58" s="33" t="s">
        <v>265</v>
      </c>
      <c r="B58" s="96" t="s">
        <v>199</v>
      </c>
      <c r="C58" s="285">
        <f>C41</f>
        <v>8574.6030937485266</v>
      </c>
      <c r="D58" s="285">
        <f>C41</f>
        <v>8574.6030937485266</v>
      </c>
      <c r="E58" s="257"/>
      <c r="F58" s="258"/>
      <c r="G58" s="258"/>
      <c r="H58" s="258"/>
      <c r="I58" s="258"/>
      <c r="J58" s="258"/>
      <c r="K58" s="258"/>
      <c r="L58" s="158"/>
    </row>
    <row r="59" spans="1:12" x14ac:dyDescent="0.2">
      <c r="A59" s="34" t="s">
        <v>266</v>
      </c>
      <c r="B59" s="109" t="s">
        <v>199</v>
      </c>
      <c r="C59" s="282">
        <f>C48</f>
        <v>29010.729686797498</v>
      </c>
      <c r="D59" s="282">
        <f>C54</f>
        <v>66153.283839905358</v>
      </c>
      <c r="E59" s="281"/>
      <c r="F59" s="283"/>
      <c r="G59" s="283"/>
      <c r="H59" s="283"/>
      <c r="I59" s="283"/>
      <c r="J59" s="283"/>
      <c r="K59" s="283"/>
      <c r="L59" s="158"/>
    </row>
    <row r="60" spans="1:12" x14ac:dyDescent="0.2">
      <c r="A60" s="143" t="s">
        <v>267</v>
      </c>
      <c r="B60" s="203" t="s">
        <v>199</v>
      </c>
      <c r="C60" s="286">
        <f>C58+C59</f>
        <v>37585.332780546029</v>
      </c>
      <c r="D60" s="286">
        <f>D58+D59</f>
        <v>74727.886933653877</v>
      </c>
      <c r="E60" s="293"/>
      <c r="F60" s="294"/>
      <c r="G60" s="294"/>
      <c r="H60" s="294"/>
      <c r="I60" s="294"/>
      <c r="J60" s="294"/>
      <c r="K60" s="294"/>
      <c r="L60" s="158"/>
    </row>
    <row r="61" spans="1:12" x14ac:dyDescent="0.2">
      <c r="A61" s="33" t="s">
        <v>268</v>
      </c>
      <c r="B61" s="96" t="s">
        <v>199</v>
      </c>
      <c r="C61" s="295">
        <f>-'Balance Sheet'!I46</f>
        <v>3453</v>
      </c>
      <c r="D61" s="295">
        <f>-'Balance Sheet'!I46</f>
        <v>3453</v>
      </c>
      <c r="E61" s="296"/>
      <c r="F61" s="297"/>
      <c r="G61" s="297"/>
      <c r="H61" s="297"/>
      <c r="I61" s="297"/>
      <c r="J61" s="297"/>
      <c r="K61" s="297"/>
      <c r="L61" s="158"/>
    </row>
    <row r="62" spans="1:12" x14ac:dyDescent="0.2">
      <c r="A62" s="143" t="s">
        <v>269</v>
      </c>
      <c r="B62" s="203" t="s">
        <v>199</v>
      </c>
      <c r="C62" s="286">
        <f>C60+C61</f>
        <v>41038.332780546029</v>
      </c>
      <c r="D62" s="286">
        <f>D60+D61</f>
        <v>78180.886933653877</v>
      </c>
      <c r="E62" s="293"/>
      <c r="F62" s="294"/>
      <c r="G62" s="294"/>
      <c r="H62" s="294"/>
      <c r="I62" s="294"/>
      <c r="J62" s="294"/>
      <c r="K62" s="294"/>
      <c r="L62" s="158"/>
    </row>
    <row r="63" spans="1:12" x14ac:dyDescent="0.2">
      <c r="A63" s="33" t="s">
        <v>479</v>
      </c>
      <c r="B63" s="206" t="s">
        <v>302</v>
      </c>
      <c r="C63" s="256">
        <f>'Supporting Schedules'!J29</f>
        <v>280.2734375</v>
      </c>
      <c r="D63" s="256">
        <f>'Supporting Schedules'!J29</f>
        <v>280.2734375</v>
      </c>
      <c r="E63" s="257"/>
      <c r="F63" s="258"/>
      <c r="G63" s="258"/>
      <c r="H63" s="258"/>
      <c r="I63" s="258"/>
      <c r="J63" s="258"/>
      <c r="K63" s="258"/>
      <c r="L63" s="158"/>
    </row>
    <row r="64" spans="1:12" ht="16" thickBot="1" x14ac:dyDescent="0.25">
      <c r="A64" s="166" t="s">
        <v>270</v>
      </c>
      <c r="B64" s="207" t="s">
        <v>301</v>
      </c>
      <c r="C64" s="532">
        <f>C62/C63</f>
        <v>146.42248350968339</v>
      </c>
      <c r="D64" s="532">
        <f>D62/D63</f>
        <v>278.94504606293231</v>
      </c>
      <c r="E64" s="259"/>
      <c r="F64" s="260"/>
      <c r="G64" s="260"/>
      <c r="H64" s="260"/>
      <c r="I64" s="260"/>
      <c r="J64" s="260"/>
      <c r="K64" s="260"/>
      <c r="L64" s="158"/>
    </row>
    <row r="65" spans="1:12" ht="16" thickTop="1" x14ac:dyDescent="0.2">
      <c r="A65" s="136"/>
      <c r="B65" s="200"/>
      <c r="C65" s="13"/>
      <c r="D65" s="13"/>
      <c r="E65" s="15"/>
      <c r="F65" s="15"/>
      <c r="G65" s="15"/>
      <c r="H65" s="15"/>
      <c r="I65" s="15"/>
      <c r="J65" s="15"/>
      <c r="K65" s="15"/>
      <c r="L65" s="158"/>
    </row>
    <row r="66" spans="1:12" x14ac:dyDescent="0.2">
      <c r="A66" s="132" t="s">
        <v>593</v>
      </c>
      <c r="B66" s="96" t="s">
        <v>301</v>
      </c>
      <c r="C66" s="533">
        <f>Cover!C23</f>
        <v>205</v>
      </c>
      <c r="D66" s="533">
        <f>C66</f>
        <v>205</v>
      </c>
      <c r="E66" s="297"/>
      <c r="F66" s="297"/>
      <c r="G66" s="297"/>
      <c r="H66" s="297"/>
      <c r="I66" s="297"/>
      <c r="J66" s="297"/>
      <c r="K66" s="297"/>
      <c r="L66" s="158"/>
    </row>
    <row r="67" spans="1:12" x14ac:dyDescent="0.2">
      <c r="A67" s="137" t="s">
        <v>271</v>
      </c>
      <c r="B67" s="201" t="s">
        <v>195</v>
      </c>
      <c r="C67" s="261">
        <f>C64/C66-1</f>
        <v>-0.28574398287959324</v>
      </c>
      <c r="D67" s="261">
        <f>D64/D66-1</f>
        <v>0.36070754177040154</v>
      </c>
      <c r="E67" s="249"/>
      <c r="F67" s="249"/>
      <c r="G67" s="249"/>
      <c r="H67" s="249"/>
      <c r="I67" s="249"/>
      <c r="J67" s="249"/>
      <c r="K67" s="249"/>
      <c r="L67" s="158"/>
    </row>
    <row r="68" spans="1:12" x14ac:dyDescent="0.2">
      <c r="A68" s="135" t="s">
        <v>478</v>
      </c>
      <c r="B68" s="201" t="s">
        <v>195</v>
      </c>
      <c r="C68" s="248">
        <f>C59/C60</f>
        <v>0.77186305243553144</v>
      </c>
      <c r="D68" s="248">
        <f>D59/D60</f>
        <v>0.88525564624406727</v>
      </c>
      <c r="E68" s="249"/>
      <c r="F68" s="249"/>
      <c r="G68" s="249"/>
      <c r="H68" s="249"/>
      <c r="I68" s="249"/>
      <c r="J68" s="249"/>
      <c r="K68" s="249"/>
      <c r="L68" s="158"/>
    </row>
    <row r="69" spans="1:12" x14ac:dyDescent="0.2">
      <c r="A69" s="15"/>
      <c r="B69" s="200"/>
      <c r="C69" s="15"/>
      <c r="D69" s="15"/>
      <c r="E69" s="15"/>
      <c r="F69" s="15"/>
      <c r="G69" s="15"/>
      <c r="H69" s="15"/>
      <c r="I69" s="15"/>
      <c r="J69" s="15"/>
      <c r="K69" s="15"/>
      <c r="L69" s="158"/>
    </row>
    <row r="70" spans="1:12" x14ac:dyDescent="0.2">
      <c r="A70" s="151" t="s">
        <v>348</v>
      </c>
      <c r="B70" s="208"/>
      <c r="C70" s="151"/>
      <c r="D70" s="151"/>
      <c r="E70" s="151"/>
      <c r="F70" s="151"/>
      <c r="G70" s="151"/>
      <c r="H70" s="151"/>
      <c r="I70" s="146"/>
      <c r="J70" s="146"/>
      <c r="K70" s="146"/>
      <c r="L70" s="158"/>
    </row>
    <row r="71" spans="1:12" ht="30" x14ac:dyDescent="0.2">
      <c r="A71" s="220" t="s">
        <v>273</v>
      </c>
      <c r="B71" s="221"/>
      <c r="C71" s="222" t="s">
        <v>274</v>
      </c>
      <c r="D71" s="222" t="s">
        <v>367</v>
      </c>
      <c r="E71" s="223" t="s">
        <v>483</v>
      </c>
      <c r="F71" s="220" t="s">
        <v>275</v>
      </c>
      <c r="G71" s="220"/>
      <c r="H71" s="160"/>
      <c r="I71" s="160"/>
      <c r="J71" s="160"/>
      <c r="K71" s="160"/>
      <c r="L71" s="158"/>
    </row>
    <row r="72" spans="1:12" x14ac:dyDescent="0.2">
      <c r="A72" s="161" t="s">
        <v>277</v>
      </c>
      <c r="B72" s="218" t="s">
        <v>276</v>
      </c>
      <c r="C72" s="216" t="s">
        <v>353</v>
      </c>
      <c r="D72" s="216" t="s">
        <v>354</v>
      </c>
      <c r="E72" s="216" t="s">
        <v>379</v>
      </c>
      <c r="F72" s="161" t="s">
        <v>278</v>
      </c>
      <c r="G72" s="161"/>
      <c r="H72" s="161"/>
      <c r="I72" s="161"/>
      <c r="J72" s="161"/>
      <c r="K72" s="161"/>
      <c r="L72" s="158"/>
    </row>
    <row r="73" spans="1:12" x14ac:dyDescent="0.2">
      <c r="A73" s="162" t="s">
        <v>280</v>
      </c>
      <c r="B73" s="219" t="s">
        <v>279</v>
      </c>
      <c r="C73" s="217" t="s">
        <v>355</v>
      </c>
      <c r="D73" s="217" t="s">
        <v>356</v>
      </c>
      <c r="E73" s="217" t="s">
        <v>380</v>
      </c>
      <c r="F73" s="162" t="s">
        <v>281</v>
      </c>
      <c r="G73" s="162"/>
      <c r="H73" s="162"/>
      <c r="I73" s="162"/>
      <c r="J73" s="162"/>
      <c r="K73" s="162"/>
      <c r="L73" s="158"/>
    </row>
    <row r="74" spans="1:12" x14ac:dyDescent="0.2">
      <c r="A74" s="161" t="s">
        <v>283</v>
      </c>
      <c r="B74" s="218" t="s">
        <v>282</v>
      </c>
      <c r="C74" s="216" t="s">
        <v>357</v>
      </c>
      <c r="D74" s="216" t="s">
        <v>358</v>
      </c>
      <c r="E74" s="216" t="s">
        <v>381</v>
      </c>
      <c r="F74" s="161" t="s">
        <v>284</v>
      </c>
      <c r="G74" s="161"/>
      <c r="H74" s="161"/>
      <c r="I74" s="161"/>
      <c r="J74" s="161"/>
      <c r="K74" s="161"/>
      <c r="L74" s="158"/>
    </row>
    <row r="75" spans="1:12" x14ac:dyDescent="0.2">
      <c r="A75" s="162" t="s">
        <v>286</v>
      </c>
      <c r="B75" s="219" t="s">
        <v>285</v>
      </c>
      <c r="C75" s="217" t="s">
        <v>359</v>
      </c>
      <c r="D75" s="217" t="s">
        <v>360</v>
      </c>
      <c r="E75" s="217" t="s">
        <v>382</v>
      </c>
      <c r="F75" s="162" t="s">
        <v>287</v>
      </c>
      <c r="G75" s="162"/>
      <c r="H75" s="162"/>
      <c r="I75" s="162"/>
      <c r="J75" s="162"/>
      <c r="K75" s="162"/>
      <c r="L75" s="158"/>
    </row>
    <row r="76" spans="1:12" x14ac:dyDescent="0.2">
      <c r="A76" s="161" t="s">
        <v>289</v>
      </c>
      <c r="B76" s="218" t="s">
        <v>288</v>
      </c>
      <c r="C76" s="216" t="s">
        <v>361</v>
      </c>
      <c r="D76" s="216" t="s">
        <v>362</v>
      </c>
      <c r="E76" s="216" t="s">
        <v>383</v>
      </c>
      <c r="F76" s="161" t="s">
        <v>403</v>
      </c>
      <c r="G76" s="161"/>
      <c r="H76" s="161"/>
      <c r="I76" s="161"/>
      <c r="J76" s="161"/>
      <c r="K76" s="161"/>
      <c r="L76" s="158"/>
    </row>
    <row r="77" spans="1:12" x14ac:dyDescent="0.2">
      <c r="A77" s="163" t="s">
        <v>290</v>
      </c>
      <c r="B77" s="209"/>
      <c r="C77" s="225" t="s">
        <v>363</v>
      </c>
      <c r="D77" s="225" t="s">
        <v>364</v>
      </c>
      <c r="E77" s="163"/>
      <c r="F77" s="163"/>
      <c r="G77" s="163"/>
      <c r="H77" s="163"/>
      <c r="I77" s="163"/>
      <c r="J77" s="163"/>
      <c r="K77" s="163"/>
      <c r="L77" s="158"/>
    </row>
    <row r="78" spans="1:12" x14ac:dyDescent="0.2">
      <c r="A78" s="164" t="s">
        <v>598</v>
      </c>
      <c r="B78" s="210"/>
      <c r="C78" s="534"/>
      <c r="D78" s="535">
        <v>18</v>
      </c>
      <c r="E78" s="164"/>
      <c r="F78" s="164"/>
      <c r="G78" s="164"/>
      <c r="H78" s="164"/>
      <c r="I78" s="164"/>
      <c r="J78" s="164"/>
      <c r="K78" s="164"/>
      <c r="L78" s="158"/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5A3E8C"/>
  </sheetPr>
  <dimension ref="A1:O30"/>
  <sheetViews>
    <sheetView showGridLines="0" zoomScale="125" zoomScaleNormal="100" workbookViewId="0">
      <selection activeCell="A10" sqref="A10"/>
    </sheetView>
  </sheetViews>
  <sheetFormatPr baseColWidth="10" defaultColWidth="8.6640625" defaultRowHeight="13" x14ac:dyDescent="0.15"/>
  <cols>
    <col min="1" max="1" width="43.33203125" style="1" customWidth="1"/>
    <col min="2" max="2" width="9.1640625" style="507" customWidth="1"/>
    <col min="3" max="8" width="13.33203125" style="1" customWidth="1"/>
    <col min="9" max="12" width="16" style="1" customWidth="1"/>
    <col min="13" max="16384" width="8.6640625" style="1"/>
  </cols>
  <sheetData>
    <row r="1" spans="1:15" ht="20" x14ac:dyDescent="0.2">
      <c r="A1" s="331" t="s">
        <v>203</v>
      </c>
      <c r="B1" s="494"/>
      <c r="C1" s="331"/>
      <c r="D1" s="331"/>
      <c r="E1" s="331"/>
      <c r="F1" s="331"/>
      <c r="G1" s="331"/>
      <c r="H1" s="331"/>
    </row>
    <row r="2" spans="1:15" x14ac:dyDescent="0.15">
      <c r="A2" s="392"/>
      <c r="B2" s="495"/>
      <c r="C2" s="392"/>
      <c r="D2" s="392"/>
      <c r="E2" s="392"/>
      <c r="F2" s="392"/>
      <c r="G2" s="392"/>
      <c r="H2" s="392"/>
    </row>
    <row r="3" spans="1:15" ht="14" x14ac:dyDescent="0.15">
      <c r="A3" s="393" t="s">
        <v>585</v>
      </c>
      <c r="B3" s="394" t="s">
        <v>193</v>
      </c>
      <c r="C3" s="394"/>
      <c r="D3" s="394"/>
      <c r="E3" s="394"/>
      <c r="F3" s="394"/>
      <c r="G3" s="394"/>
      <c r="H3" s="394"/>
    </row>
    <row r="4" spans="1:15" x14ac:dyDescent="0.15">
      <c r="A4" s="397" t="s">
        <v>204</v>
      </c>
      <c r="B4" s="496"/>
      <c r="C4" s="398" t="s">
        <v>205</v>
      </c>
      <c r="D4" s="397"/>
      <c r="E4" s="397"/>
      <c r="F4" s="397"/>
      <c r="G4" s="397"/>
      <c r="H4" s="397"/>
    </row>
    <row r="5" spans="1:15" x14ac:dyDescent="0.15">
      <c r="A5" s="399" t="s">
        <v>206</v>
      </c>
      <c r="B5" s="497"/>
      <c r="C5" s="400" t="s">
        <v>207</v>
      </c>
      <c r="D5" s="399"/>
      <c r="E5" s="399"/>
      <c r="F5" s="399"/>
      <c r="G5" s="399"/>
      <c r="H5" s="399"/>
    </row>
    <row r="6" spans="1:15" x14ac:dyDescent="0.15">
      <c r="A6" s="397" t="s">
        <v>208</v>
      </c>
      <c r="B6" s="496"/>
      <c r="C6" s="398" t="s">
        <v>209</v>
      </c>
      <c r="D6" s="397"/>
      <c r="E6" s="397"/>
      <c r="F6" s="397"/>
      <c r="G6" s="397"/>
      <c r="H6" s="397"/>
    </row>
    <row r="7" spans="1:15" x14ac:dyDescent="0.15">
      <c r="A7" s="399" t="s">
        <v>210</v>
      </c>
      <c r="B7" s="497"/>
      <c r="C7" s="401" t="s">
        <v>385</v>
      </c>
      <c r="D7" s="399"/>
      <c r="E7" s="399"/>
      <c r="F7" s="399"/>
      <c r="G7" s="399"/>
      <c r="H7" s="399"/>
    </row>
    <row r="8" spans="1:15" x14ac:dyDescent="0.15">
      <c r="A8" s="397" t="s">
        <v>211</v>
      </c>
      <c r="B8" s="498" t="s">
        <v>384</v>
      </c>
      <c r="C8" s="398" t="str">
        <f>Assumptions!D33&amp;"B (FY2025A avg)"</f>
        <v>17.8B (FY2025A avg)</v>
      </c>
      <c r="D8" s="397"/>
      <c r="E8" s="397"/>
      <c r="F8" s="397"/>
      <c r="G8" s="397"/>
      <c r="H8" s="397"/>
    </row>
    <row r="9" spans="1:15" x14ac:dyDescent="0.15">
      <c r="A9" s="399" t="s">
        <v>212</v>
      </c>
      <c r="B9" s="499" t="s">
        <v>384</v>
      </c>
      <c r="C9" s="400" t="str">
        <f>Assumptions!D34&amp;"B (FY2025A est.)"</f>
        <v>52B (FY2025A est.)</v>
      </c>
      <c r="D9" s="399"/>
      <c r="E9" s="399"/>
      <c r="F9" s="399"/>
      <c r="G9" s="399"/>
      <c r="H9" s="399"/>
    </row>
    <row r="10" spans="1:15" x14ac:dyDescent="0.15">
      <c r="A10" s="402" t="s">
        <v>213</v>
      </c>
      <c r="B10" s="500" t="s">
        <v>374</v>
      </c>
      <c r="C10" s="403" t="str">
        <f>TEXT(Assumptions!D32,"#,##0.0")&amp;"M (FY2025A)"</f>
        <v>1,348.8M (FY2025A)</v>
      </c>
      <c r="D10" s="402"/>
      <c r="E10" s="402"/>
      <c r="F10" s="402"/>
      <c r="G10" s="402"/>
      <c r="H10" s="402"/>
    </row>
    <row r="11" spans="1:15" ht="14" x14ac:dyDescent="0.15">
      <c r="A11" s="16"/>
      <c r="B11" s="501"/>
      <c r="C11" s="16"/>
      <c r="D11" s="16"/>
      <c r="E11" s="16"/>
      <c r="F11" s="16"/>
      <c r="G11" s="16"/>
      <c r="H11" s="16"/>
    </row>
    <row r="12" spans="1:15" ht="14" x14ac:dyDescent="0.15">
      <c r="A12" s="393" t="s">
        <v>386</v>
      </c>
      <c r="B12" s="429" t="s">
        <v>195</v>
      </c>
      <c r="C12" s="394"/>
      <c r="D12" s="394"/>
      <c r="E12" s="394"/>
      <c r="F12" s="394"/>
      <c r="G12" s="394"/>
      <c r="H12" s="394"/>
    </row>
    <row r="13" spans="1:15" ht="14" x14ac:dyDescent="0.15">
      <c r="A13" s="395" t="s">
        <v>214</v>
      </c>
      <c r="B13" s="502"/>
      <c r="C13" s="333" t="s">
        <v>215</v>
      </c>
      <c r="D13" s="333"/>
      <c r="E13" s="333" t="s">
        <v>216</v>
      </c>
      <c r="F13" s="333"/>
      <c r="G13" s="333" t="s">
        <v>217</v>
      </c>
      <c r="H13" s="333"/>
    </row>
    <row r="14" spans="1:15" x14ac:dyDescent="0.15">
      <c r="A14" s="396" t="s">
        <v>586</v>
      </c>
      <c r="B14" s="503" t="s">
        <v>374</v>
      </c>
      <c r="C14" s="396" t="s">
        <v>218</v>
      </c>
      <c r="D14" s="396"/>
      <c r="E14" s="396" t="s">
        <v>219</v>
      </c>
      <c r="F14" s="396"/>
      <c r="G14" s="396" t="s">
        <v>220</v>
      </c>
      <c r="H14" s="396"/>
    </row>
    <row r="15" spans="1:15" x14ac:dyDescent="0.15">
      <c r="A15" s="491">
        <v>0.04</v>
      </c>
      <c r="B15" s="498" t="s">
        <v>195</v>
      </c>
      <c r="C15" s="426"/>
      <c r="D15" s="459">
        <f>(Assumptions!$E$33*Assumptions!$E$35+(Assumptions!$E$34-Assumptions!$E$33)*Assumptions!$E$36)*$A15*1000</f>
        <v>1480</v>
      </c>
      <c r="E15" s="458"/>
      <c r="F15" s="459">
        <f>(Assumptions!$E$33*0.8+(Assumptions!$E$34-Assumptions!$E$33)*0.4)*$A15*1000</f>
        <v>1184.0000000000002</v>
      </c>
      <c r="G15" s="458"/>
      <c r="H15" s="459">
        <f>(Assumptions!$E$33*1+(Assumptions!$E$34-Assumptions!$E$33)*0)*$A15*1000</f>
        <v>760</v>
      </c>
      <c r="J15" s="4"/>
      <c r="K15" s="4"/>
      <c r="L15" s="4"/>
      <c r="M15" s="5"/>
      <c r="N15" s="6"/>
      <c r="O15" s="6"/>
    </row>
    <row r="16" spans="1:15" x14ac:dyDescent="0.15">
      <c r="A16" s="490">
        <v>3.5000000000000003E-2</v>
      </c>
      <c r="B16" s="499" t="s">
        <v>195</v>
      </c>
      <c r="C16" s="427"/>
      <c r="D16" s="461">
        <f>(Assumptions!$E$33*Assumptions!$E$35+(Assumptions!$E$34-Assumptions!$E$33)*Assumptions!$E$36)*$A16*1000</f>
        <v>1295.0000000000002</v>
      </c>
      <c r="E16" s="460"/>
      <c r="F16" s="461">
        <f>(Assumptions!$E$33*0.8+(Assumptions!$E$34-Assumptions!$E$33)*0.4)*$A16*1000</f>
        <v>1036.0000000000002</v>
      </c>
      <c r="G16" s="460"/>
      <c r="H16" s="461">
        <f>(Assumptions!$E$33*1+(Assumptions!$E$34-Assumptions!$E$33)*0)*$A16*1000</f>
        <v>665</v>
      </c>
      <c r="J16" s="4"/>
      <c r="K16" s="4"/>
      <c r="L16" s="4"/>
      <c r="M16" s="5"/>
      <c r="N16" s="6"/>
      <c r="O16" s="6"/>
    </row>
    <row r="17" spans="1:15" x14ac:dyDescent="0.15">
      <c r="A17" s="492">
        <v>0.03</v>
      </c>
      <c r="B17" s="500" t="s">
        <v>195</v>
      </c>
      <c r="C17" s="428"/>
      <c r="D17" s="463">
        <f>(Assumptions!$E$33*Assumptions!$E$35+(Assumptions!$E$34-Assumptions!$E$33)*Assumptions!$E$36)*$A17*1000</f>
        <v>1109.9999999999998</v>
      </c>
      <c r="E17" s="462"/>
      <c r="F17" s="463">
        <f>(Assumptions!$E$33*0.8+(Assumptions!$E$34-Assumptions!$E$33)*0.4)*$A17*1000</f>
        <v>888</v>
      </c>
      <c r="G17" s="462"/>
      <c r="H17" s="463">
        <f>(Assumptions!$E$33*1+(Assumptions!$E$34-Assumptions!$E$33)*0)*$A17*1000</f>
        <v>570</v>
      </c>
      <c r="J17" s="4"/>
      <c r="K17" s="4"/>
      <c r="L17" s="4"/>
      <c r="M17" s="6"/>
      <c r="N17" s="6"/>
      <c r="O17" s="6"/>
    </row>
    <row r="18" spans="1:15" ht="14" x14ac:dyDescent="0.15">
      <c r="A18" s="16"/>
      <c r="B18" s="501"/>
      <c r="C18" s="16"/>
      <c r="D18" s="16"/>
      <c r="E18" s="16"/>
      <c r="F18" s="16"/>
      <c r="G18" s="16"/>
      <c r="H18" s="16"/>
    </row>
    <row r="19" spans="1:15" ht="14" x14ac:dyDescent="0.15">
      <c r="A19" s="17"/>
      <c r="B19" s="504"/>
      <c r="C19" s="16"/>
      <c r="D19" s="16"/>
      <c r="E19" s="16"/>
      <c r="F19" s="16"/>
      <c r="G19" s="16"/>
      <c r="H19" s="16"/>
    </row>
    <row r="20" spans="1:15" ht="14" x14ac:dyDescent="0.15">
      <c r="A20" s="393" t="s">
        <v>221</v>
      </c>
      <c r="B20" s="429"/>
      <c r="C20" s="394"/>
      <c r="D20" s="394"/>
      <c r="E20" s="394"/>
      <c r="F20" s="394"/>
      <c r="G20" s="394"/>
      <c r="H20" s="394"/>
    </row>
    <row r="21" spans="1:15" x14ac:dyDescent="0.15">
      <c r="A21" s="397" t="s">
        <v>213</v>
      </c>
      <c r="B21" s="498" t="s">
        <v>374</v>
      </c>
      <c r="C21" s="464">
        <f>Assumptions!D32</f>
        <v>1348.8209999999999</v>
      </c>
      <c r="D21" s="465"/>
      <c r="E21" s="465"/>
      <c r="F21" s="465"/>
      <c r="G21" s="465"/>
      <c r="H21" s="465"/>
    </row>
    <row r="22" spans="1:15" x14ac:dyDescent="0.15">
      <c r="A22" s="399" t="s">
        <v>222</v>
      </c>
      <c r="B22" s="499" t="s">
        <v>384</v>
      </c>
      <c r="C22" s="466">
        <f>Assumptions!D33*1000</f>
        <v>17800</v>
      </c>
      <c r="D22" s="467"/>
      <c r="E22" s="467"/>
      <c r="F22" s="467"/>
      <c r="G22" s="467"/>
      <c r="H22" s="467"/>
    </row>
    <row r="23" spans="1:15" x14ac:dyDescent="0.15">
      <c r="A23" s="397" t="s">
        <v>223</v>
      </c>
      <c r="B23" s="498" t="s">
        <v>384</v>
      </c>
      <c r="C23" s="468">
        <f>Assumptions!D34*1000</f>
        <v>52000</v>
      </c>
      <c r="D23" s="465"/>
      <c r="E23" s="465"/>
      <c r="F23" s="465"/>
      <c r="G23" s="465"/>
      <c r="H23" s="465"/>
    </row>
    <row r="24" spans="1:15" x14ac:dyDescent="0.15">
      <c r="A24" s="399" t="s">
        <v>224</v>
      </c>
      <c r="B24" s="499" t="s">
        <v>195</v>
      </c>
      <c r="C24" s="341">
        <f>C21/(C22*1+C23*0.5)</f>
        <v>3.0794999999999999E-2</v>
      </c>
      <c r="D24" s="467"/>
      <c r="E24" s="467"/>
      <c r="F24" s="467"/>
      <c r="G24" s="467"/>
      <c r="H24" s="467"/>
    </row>
    <row r="25" spans="1:15" x14ac:dyDescent="0.15">
      <c r="A25" s="397" t="s">
        <v>225</v>
      </c>
      <c r="B25" s="498" t="s">
        <v>195</v>
      </c>
      <c r="C25" s="489">
        <f>Assumptions!D5</f>
        <v>4.3299999999999998E-2</v>
      </c>
      <c r="D25" s="465"/>
      <c r="E25" s="465"/>
      <c r="F25" s="465"/>
      <c r="G25" s="465"/>
      <c r="H25" s="465"/>
    </row>
    <row r="26" spans="1:15" x14ac:dyDescent="0.15">
      <c r="A26" s="399" t="s">
        <v>226</v>
      </c>
      <c r="B26" s="499" t="s">
        <v>195</v>
      </c>
      <c r="C26" s="493">
        <f>C24/C25</f>
        <v>0.71120092378752886</v>
      </c>
      <c r="D26" s="399"/>
      <c r="E26" s="399"/>
      <c r="F26" s="399"/>
      <c r="G26" s="399"/>
      <c r="H26" s="399"/>
    </row>
    <row r="27" spans="1:15" x14ac:dyDescent="0.15">
      <c r="A27" s="419"/>
      <c r="B27" s="505"/>
      <c r="C27" s="469"/>
      <c r="D27" s="469"/>
      <c r="E27" s="469"/>
      <c r="F27" s="469"/>
      <c r="G27" s="469"/>
      <c r="H27" s="469"/>
    </row>
    <row r="28" spans="1:15" ht="14" x14ac:dyDescent="0.2">
      <c r="A28" s="18"/>
      <c r="B28" s="506"/>
      <c r="C28" s="10"/>
      <c r="D28" s="10"/>
      <c r="E28" s="10"/>
      <c r="F28" s="10"/>
      <c r="G28" s="10"/>
      <c r="H28" s="10"/>
    </row>
    <row r="29" spans="1:15" ht="14" x14ac:dyDescent="0.2">
      <c r="A29" s="10"/>
      <c r="B29" s="501"/>
      <c r="C29" s="10"/>
      <c r="D29" s="10"/>
      <c r="E29" s="10"/>
      <c r="F29" s="10"/>
      <c r="G29" s="10"/>
      <c r="H29" s="10"/>
    </row>
    <row r="30" spans="1:15" ht="14" x14ac:dyDescent="0.2">
      <c r="A30" s="10"/>
      <c r="B30" s="501"/>
      <c r="C30" s="10"/>
      <c r="D30" s="10"/>
      <c r="E30" s="10"/>
      <c r="F30" s="10"/>
      <c r="G30" s="10"/>
      <c r="H30" s="10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A3E8C"/>
  </sheetPr>
  <dimension ref="A1:J39"/>
  <sheetViews>
    <sheetView showGridLines="0" zoomScaleNormal="100" workbookViewId="0">
      <selection sqref="A1:XFD1048576"/>
    </sheetView>
  </sheetViews>
  <sheetFormatPr baseColWidth="10" defaultColWidth="8.6640625" defaultRowHeight="15" x14ac:dyDescent="0.2"/>
  <cols>
    <col min="1" max="1" width="43.33203125" customWidth="1"/>
    <col min="2" max="2" width="9.1640625" style="211" customWidth="1"/>
    <col min="3" max="10" width="13.33203125" customWidth="1"/>
    <col min="11" max="11" width="14" customWidth="1"/>
  </cols>
  <sheetData>
    <row r="1" spans="1:10" ht="20" x14ac:dyDescent="0.2">
      <c r="A1" s="331" t="s">
        <v>137</v>
      </c>
      <c r="B1" s="425"/>
      <c r="C1" s="331"/>
      <c r="D1" s="331"/>
      <c r="E1" s="331"/>
      <c r="F1" s="331"/>
      <c r="G1" s="331"/>
      <c r="H1" s="331"/>
      <c r="I1" s="331"/>
      <c r="J1" s="331"/>
    </row>
    <row r="2" spans="1:10" x14ac:dyDescent="0.2">
      <c r="A2" s="332"/>
      <c r="B2" s="356"/>
      <c r="C2" s="332"/>
      <c r="D2" s="332"/>
      <c r="E2" s="332"/>
      <c r="F2" s="332"/>
      <c r="G2" s="332"/>
      <c r="H2" s="332"/>
      <c r="I2" s="332"/>
      <c r="J2" s="332"/>
    </row>
    <row r="3" spans="1:10" x14ac:dyDescent="0.2">
      <c r="A3" s="335" t="s">
        <v>138</v>
      </c>
      <c r="B3" s="350"/>
      <c r="C3" s="335"/>
      <c r="D3" s="335"/>
      <c r="E3" s="335"/>
      <c r="F3" s="335"/>
      <c r="G3" s="335"/>
      <c r="H3" s="335"/>
      <c r="I3" s="335"/>
      <c r="J3" s="335"/>
    </row>
    <row r="4" spans="1:10" x14ac:dyDescent="0.2">
      <c r="A4" s="337" t="s">
        <v>139</v>
      </c>
      <c r="B4" s="430"/>
      <c r="C4" s="404" t="s">
        <v>140</v>
      </c>
      <c r="D4" s="404"/>
      <c r="E4" s="404"/>
      <c r="F4" s="404"/>
      <c r="G4" s="404"/>
      <c r="H4" s="404"/>
      <c r="I4" s="404"/>
      <c r="J4" s="404"/>
    </row>
    <row r="5" spans="1:10" x14ac:dyDescent="0.2">
      <c r="A5" s="339" t="s">
        <v>141</v>
      </c>
      <c r="B5" s="352" t="s">
        <v>374</v>
      </c>
      <c r="C5" s="405" t="s">
        <v>387</v>
      </c>
      <c r="D5" s="405"/>
      <c r="E5" s="405"/>
      <c r="F5" s="405"/>
      <c r="G5" s="405"/>
      <c r="H5" s="405"/>
      <c r="I5" s="405"/>
      <c r="J5" s="405"/>
    </row>
    <row r="6" spans="1:10" x14ac:dyDescent="0.2">
      <c r="A6" s="337" t="s">
        <v>142</v>
      </c>
      <c r="B6" s="351" t="s">
        <v>374</v>
      </c>
      <c r="C6" s="404" t="s">
        <v>388</v>
      </c>
      <c r="D6" s="404"/>
      <c r="E6" s="404"/>
      <c r="F6" s="404"/>
      <c r="G6" s="404"/>
      <c r="H6" s="404"/>
      <c r="I6" s="404"/>
      <c r="J6" s="404"/>
    </row>
    <row r="7" spans="1:10" x14ac:dyDescent="0.2">
      <c r="A7" s="339" t="s">
        <v>143</v>
      </c>
      <c r="B7" s="352" t="s">
        <v>374</v>
      </c>
      <c r="C7" s="405" t="s">
        <v>389</v>
      </c>
      <c r="D7" s="405"/>
      <c r="E7" s="405"/>
      <c r="F7" s="405"/>
      <c r="G7" s="405"/>
      <c r="H7" s="405"/>
      <c r="I7" s="405"/>
      <c r="J7" s="405"/>
    </row>
    <row r="8" spans="1:10" x14ac:dyDescent="0.2">
      <c r="A8" s="337" t="s">
        <v>144</v>
      </c>
      <c r="B8" s="351" t="s">
        <v>195</v>
      </c>
      <c r="C8" s="404" t="s">
        <v>390</v>
      </c>
      <c r="D8" s="404"/>
      <c r="E8" s="404"/>
      <c r="F8" s="404"/>
      <c r="G8" s="404"/>
      <c r="H8" s="404"/>
      <c r="I8" s="404"/>
      <c r="J8" s="404"/>
    </row>
    <row r="9" spans="1:10" x14ac:dyDescent="0.2">
      <c r="A9" s="339" t="s">
        <v>145</v>
      </c>
      <c r="B9" s="352" t="s">
        <v>195</v>
      </c>
      <c r="C9" s="405" t="s">
        <v>146</v>
      </c>
      <c r="D9" s="405"/>
      <c r="E9" s="405"/>
      <c r="F9" s="405"/>
      <c r="G9" s="405"/>
      <c r="H9" s="405"/>
      <c r="I9" s="405"/>
      <c r="J9" s="405"/>
    </row>
    <row r="10" spans="1:10" x14ac:dyDescent="0.2">
      <c r="A10" s="347" t="s">
        <v>147</v>
      </c>
      <c r="B10" s="431"/>
      <c r="C10" s="415" t="s">
        <v>148</v>
      </c>
      <c r="D10" s="415"/>
      <c r="E10" s="415"/>
      <c r="F10" s="415"/>
      <c r="G10" s="415"/>
      <c r="H10" s="415"/>
      <c r="I10" s="415"/>
      <c r="J10" s="415"/>
    </row>
    <row r="11" spans="1:10" x14ac:dyDescent="0.2">
      <c r="A11" s="420"/>
      <c r="B11" s="432"/>
      <c r="C11" s="420"/>
      <c r="D11" s="420"/>
      <c r="E11" s="420"/>
      <c r="F11" s="420"/>
      <c r="G11" s="420"/>
      <c r="H11" s="420"/>
      <c r="I11" s="420"/>
      <c r="J11" s="420"/>
    </row>
    <row r="12" spans="1:10" x14ac:dyDescent="0.2">
      <c r="A12" s="335" t="s">
        <v>149</v>
      </c>
      <c r="B12" s="350"/>
      <c r="C12" s="335"/>
      <c r="D12" s="335" t="s">
        <v>391</v>
      </c>
      <c r="E12" s="335" t="s">
        <v>392</v>
      </c>
      <c r="F12" s="335" t="s">
        <v>393</v>
      </c>
      <c r="G12" s="335"/>
      <c r="H12" s="335"/>
      <c r="I12" s="335"/>
      <c r="J12" s="335"/>
    </row>
    <row r="13" spans="1:10" x14ac:dyDescent="0.2">
      <c r="A13" s="337" t="s">
        <v>150</v>
      </c>
      <c r="B13" s="351" t="s">
        <v>374</v>
      </c>
      <c r="C13" s="337"/>
      <c r="D13" s="407">
        <v>1139.67</v>
      </c>
      <c r="E13" s="407">
        <v>4168.9669999999996</v>
      </c>
      <c r="F13" s="408">
        <f>E13-D13</f>
        <v>3029.2969999999996</v>
      </c>
      <c r="G13" s="336"/>
      <c r="H13" s="336"/>
      <c r="I13" s="336"/>
      <c r="J13" s="336"/>
    </row>
    <row r="14" spans="1:10" x14ac:dyDescent="0.2">
      <c r="A14" s="339" t="s">
        <v>151</v>
      </c>
      <c r="B14" s="352" t="s">
        <v>374</v>
      </c>
      <c r="C14" s="339"/>
      <c r="D14" s="409">
        <v>1599.799</v>
      </c>
      <c r="E14" s="409">
        <v>3396.665</v>
      </c>
      <c r="F14" s="410">
        <f>E14-D14</f>
        <v>1796.866</v>
      </c>
      <c r="G14" s="338"/>
      <c r="H14" s="338"/>
      <c r="I14" s="338"/>
      <c r="J14" s="338"/>
    </row>
    <row r="15" spans="1:10" x14ac:dyDescent="0.2">
      <c r="A15" s="406" t="s">
        <v>152</v>
      </c>
      <c r="B15" s="353" t="s">
        <v>374</v>
      </c>
      <c r="C15" s="406"/>
      <c r="D15" s="411">
        <f>SUM(D13:D14)</f>
        <v>2739.4690000000001</v>
      </c>
      <c r="E15" s="411">
        <f>SUM(E13:E14)</f>
        <v>7565.6319999999996</v>
      </c>
      <c r="F15" s="412">
        <f>E15-D15</f>
        <v>4826.1629999999996</v>
      </c>
      <c r="G15" s="342"/>
      <c r="H15" s="342"/>
      <c r="I15" s="342"/>
      <c r="J15" s="342"/>
    </row>
    <row r="16" spans="1:10" x14ac:dyDescent="0.2">
      <c r="A16" s="420"/>
      <c r="B16" s="432"/>
      <c r="C16" s="420"/>
      <c r="D16" s="420"/>
      <c r="E16" s="420"/>
      <c r="F16" s="420"/>
      <c r="G16" s="420"/>
      <c r="H16" s="420"/>
      <c r="I16" s="420"/>
      <c r="J16" s="420"/>
    </row>
    <row r="17" spans="1:10" x14ac:dyDescent="0.2">
      <c r="A17" s="335" t="s">
        <v>608</v>
      </c>
      <c r="B17" s="350"/>
      <c r="C17" s="335"/>
      <c r="D17" s="335"/>
      <c r="E17" s="335"/>
      <c r="F17" s="335"/>
      <c r="G17" s="335"/>
      <c r="H17" s="335"/>
      <c r="I17" s="335"/>
      <c r="J17" s="335"/>
    </row>
    <row r="18" spans="1:10" x14ac:dyDescent="0.2">
      <c r="A18" s="333"/>
      <c r="B18" s="334"/>
      <c r="C18" s="333" t="s">
        <v>394</v>
      </c>
      <c r="D18" s="333" t="s">
        <v>153</v>
      </c>
      <c r="E18" s="333" t="s">
        <v>154</v>
      </c>
      <c r="F18" s="333" t="s">
        <v>395</v>
      </c>
      <c r="G18" s="333" t="s">
        <v>155</v>
      </c>
      <c r="H18" s="416"/>
      <c r="I18" s="416"/>
      <c r="J18" s="416"/>
    </row>
    <row r="19" spans="1:10" x14ac:dyDescent="0.2">
      <c r="A19" s="337" t="s">
        <v>156</v>
      </c>
      <c r="B19" s="351" t="s">
        <v>374</v>
      </c>
      <c r="C19" s="470">
        <v>2929.3</v>
      </c>
      <c r="D19" s="340">
        <f>C19/C26</f>
        <v>1.0101034482758622</v>
      </c>
      <c r="E19" s="471">
        <v>0</v>
      </c>
      <c r="F19" s="408"/>
      <c r="G19" s="337" t="s">
        <v>157</v>
      </c>
      <c r="H19" s="417"/>
      <c r="I19" s="417"/>
      <c r="J19" s="417"/>
    </row>
    <row r="20" spans="1:10" x14ac:dyDescent="0.2">
      <c r="A20" s="339" t="s">
        <v>158</v>
      </c>
      <c r="B20" s="352" t="s">
        <v>374</v>
      </c>
      <c r="C20" s="472">
        <v>710</v>
      </c>
      <c r="D20" s="341">
        <f>C20/C26</f>
        <v>0.24482758620689654</v>
      </c>
      <c r="E20" s="473">
        <v>8</v>
      </c>
      <c r="F20" s="410">
        <f>C20/E20</f>
        <v>88.75</v>
      </c>
      <c r="G20" s="339" t="s">
        <v>159</v>
      </c>
      <c r="H20" s="418"/>
      <c r="I20" s="418"/>
      <c r="J20" s="418"/>
    </row>
    <row r="21" spans="1:10" x14ac:dyDescent="0.2">
      <c r="A21" s="337" t="s">
        <v>160</v>
      </c>
      <c r="B21" s="351" t="s">
        <v>374</v>
      </c>
      <c r="C21" s="470">
        <v>480</v>
      </c>
      <c r="D21" s="340">
        <f>C21/C26</f>
        <v>0.16551724137931034</v>
      </c>
      <c r="E21" s="471">
        <v>6</v>
      </c>
      <c r="F21" s="408">
        <f>C21/E21</f>
        <v>80</v>
      </c>
      <c r="G21" s="337" t="s">
        <v>159</v>
      </c>
      <c r="H21" s="417"/>
      <c r="I21" s="417"/>
      <c r="J21" s="417"/>
    </row>
    <row r="22" spans="1:10" x14ac:dyDescent="0.2">
      <c r="A22" s="339" t="s">
        <v>161</v>
      </c>
      <c r="B22" s="352" t="s">
        <v>374</v>
      </c>
      <c r="C22" s="472">
        <v>120</v>
      </c>
      <c r="D22" s="341">
        <f>C22/C26</f>
        <v>4.1379310344827586E-2</v>
      </c>
      <c r="E22" s="473">
        <v>10</v>
      </c>
      <c r="F22" s="410">
        <f>C22/E22</f>
        <v>12</v>
      </c>
      <c r="G22" s="339" t="s">
        <v>159</v>
      </c>
      <c r="H22" s="418"/>
      <c r="I22" s="418"/>
      <c r="J22" s="418"/>
    </row>
    <row r="23" spans="1:10" x14ac:dyDescent="0.2">
      <c r="A23" s="337" t="s">
        <v>162</v>
      </c>
      <c r="B23" s="351" t="s">
        <v>374</v>
      </c>
      <c r="C23" s="470">
        <v>40</v>
      </c>
      <c r="D23" s="340">
        <f>C23/C26</f>
        <v>1.3793103448275862E-2</v>
      </c>
      <c r="E23" s="471">
        <v>3</v>
      </c>
      <c r="F23" s="408">
        <f>C23/E23</f>
        <v>13.333333333333334</v>
      </c>
      <c r="G23" s="337" t="s">
        <v>159</v>
      </c>
      <c r="H23" s="417"/>
      <c r="I23" s="417"/>
      <c r="J23" s="417"/>
    </row>
    <row r="24" spans="1:10" x14ac:dyDescent="0.2">
      <c r="A24" s="339" t="s">
        <v>163</v>
      </c>
      <c r="B24" s="352" t="s">
        <v>374</v>
      </c>
      <c r="C24" s="472">
        <v>91.5</v>
      </c>
      <c r="D24" s="341">
        <f>C24/C26</f>
        <v>3.1551724137931038E-2</v>
      </c>
      <c r="E24" s="473"/>
      <c r="F24" s="410"/>
      <c r="G24" s="339" t="s">
        <v>157</v>
      </c>
      <c r="H24" s="418"/>
      <c r="I24" s="418"/>
      <c r="J24" s="418"/>
    </row>
    <row r="25" spans="1:10" x14ac:dyDescent="0.2">
      <c r="A25" s="337" t="s">
        <v>164</v>
      </c>
      <c r="B25" s="351" t="s">
        <v>374</v>
      </c>
      <c r="C25" s="470">
        <v>-471</v>
      </c>
      <c r="D25" s="340">
        <f>C25/C26</f>
        <v>-0.16241379310344828</v>
      </c>
      <c r="E25" s="471"/>
      <c r="F25" s="408"/>
      <c r="G25" s="337" t="s">
        <v>157</v>
      </c>
      <c r="H25" s="417"/>
      <c r="I25" s="417"/>
      <c r="J25" s="417"/>
    </row>
    <row r="26" spans="1:10" x14ac:dyDescent="0.2">
      <c r="A26" s="342" t="s">
        <v>165</v>
      </c>
      <c r="B26" s="433"/>
      <c r="C26" s="412">
        <v>2900</v>
      </c>
      <c r="D26" s="413">
        <f>SUM(D19:D25)</f>
        <v>1.3447586206896553</v>
      </c>
      <c r="E26" s="414"/>
      <c r="F26" s="412">
        <f>SUM(F19:F25)</f>
        <v>194.08333333333334</v>
      </c>
      <c r="G26" s="342" t="s">
        <v>166</v>
      </c>
      <c r="H26" s="342"/>
      <c r="I26" s="342"/>
      <c r="J26" s="342"/>
    </row>
    <row r="27" spans="1:10" x14ac:dyDescent="0.2">
      <c r="A27" s="420"/>
      <c r="B27" s="432"/>
      <c r="C27" s="420"/>
      <c r="D27" s="420"/>
      <c r="E27" s="420"/>
      <c r="F27" s="420"/>
      <c r="G27" s="420"/>
      <c r="H27" s="420"/>
      <c r="I27" s="420"/>
      <c r="J27" s="420"/>
    </row>
    <row r="28" spans="1:10" x14ac:dyDescent="0.2">
      <c r="A28" s="335" t="s">
        <v>167</v>
      </c>
      <c r="B28" s="434"/>
      <c r="C28" s="335"/>
      <c r="D28" s="335"/>
      <c r="E28" s="335"/>
      <c r="F28" s="335"/>
      <c r="G28" s="335"/>
      <c r="H28" s="335"/>
      <c r="I28" s="335"/>
      <c r="J28" s="335"/>
    </row>
    <row r="29" spans="1:10" x14ac:dyDescent="0.2">
      <c r="A29" s="333" t="s">
        <v>168</v>
      </c>
      <c r="B29" s="435"/>
      <c r="C29" s="440" t="s">
        <v>169</v>
      </c>
      <c r="D29" s="440" t="s">
        <v>11</v>
      </c>
      <c r="E29" s="440" t="s">
        <v>12</v>
      </c>
      <c r="F29" s="440" t="s">
        <v>170</v>
      </c>
      <c r="G29" s="440" t="s">
        <v>171</v>
      </c>
      <c r="H29" s="440" t="s">
        <v>172</v>
      </c>
      <c r="I29" s="440" t="s">
        <v>173</v>
      </c>
      <c r="J29" s="440" t="s">
        <v>174</v>
      </c>
    </row>
    <row r="30" spans="1:10" x14ac:dyDescent="0.2">
      <c r="A30" s="337" t="s">
        <v>396</v>
      </c>
      <c r="B30" s="351" t="s">
        <v>374</v>
      </c>
      <c r="C30" s="407">
        <v>37</v>
      </c>
      <c r="D30" s="470">
        <v>88.8</v>
      </c>
      <c r="E30" s="470">
        <v>88.8</v>
      </c>
      <c r="F30" s="470">
        <v>88.8</v>
      </c>
      <c r="G30" s="470">
        <v>88.8</v>
      </c>
      <c r="H30" s="470">
        <v>88.8</v>
      </c>
      <c r="I30" s="470">
        <v>88.8</v>
      </c>
      <c r="J30" s="470">
        <v>88.8</v>
      </c>
    </row>
    <row r="31" spans="1:10" x14ac:dyDescent="0.2">
      <c r="A31" s="339" t="s">
        <v>397</v>
      </c>
      <c r="B31" s="352" t="s">
        <v>374</v>
      </c>
      <c r="C31" s="409">
        <v>33.299999999999997</v>
      </c>
      <c r="D31" s="472">
        <v>80</v>
      </c>
      <c r="E31" s="472">
        <v>80</v>
      </c>
      <c r="F31" s="472">
        <v>80</v>
      </c>
      <c r="G31" s="472">
        <v>80</v>
      </c>
      <c r="H31" s="472">
        <v>80</v>
      </c>
      <c r="I31" s="472">
        <v>0</v>
      </c>
      <c r="J31" s="472">
        <v>0</v>
      </c>
    </row>
    <row r="32" spans="1:10" x14ac:dyDescent="0.2">
      <c r="A32" s="337" t="s">
        <v>398</v>
      </c>
      <c r="B32" s="351" t="s">
        <v>374</v>
      </c>
      <c r="C32" s="407">
        <v>5</v>
      </c>
      <c r="D32" s="470">
        <v>12</v>
      </c>
      <c r="E32" s="470">
        <v>12</v>
      </c>
      <c r="F32" s="470">
        <v>12</v>
      </c>
      <c r="G32" s="470">
        <v>12</v>
      </c>
      <c r="H32" s="470">
        <v>12</v>
      </c>
      <c r="I32" s="470">
        <v>12</v>
      </c>
      <c r="J32" s="470">
        <v>12</v>
      </c>
    </row>
    <row r="33" spans="1:10" x14ac:dyDescent="0.2">
      <c r="A33" s="339" t="s">
        <v>399</v>
      </c>
      <c r="B33" s="352" t="s">
        <v>374</v>
      </c>
      <c r="C33" s="409">
        <v>5.6</v>
      </c>
      <c r="D33" s="472">
        <v>13.3</v>
      </c>
      <c r="E33" s="472">
        <v>13.3</v>
      </c>
      <c r="F33" s="472">
        <v>13.3</v>
      </c>
      <c r="G33" s="472">
        <v>0</v>
      </c>
      <c r="H33" s="472">
        <v>0</v>
      </c>
      <c r="I33" s="472">
        <v>0</v>
      </c>
      <c r="J33" s="472">
        <v>0</v>
      </c>
    </row>
    <row r="34" spans="1:10" x14ac:dyDescent="0.2">
      <c r="A34" s="342" t="s">
        <v>400</v>
      </c>
      <c r="B34" s="353" t="s">
        <v>374</v>
      </c>
      <c r="C34" s="412">
        <f t="shared" ref="C34:I34" si="0">SUM(C30:C33)</f>
        <v>80.899999999999991</v>
      </c>
      <c r="D34" s="412">
        <f t="shared" si="0"/>
        <v>194.10000000000002</v>
      </c>
      <c r="E34" s="412">
        <f t="shared" si="0"/>
        <v>194.10000000000002</v>
      </c>
      <c r="F34" s="412">
        <f t="shared" si="0"/>
        <v>194.10000000000002</v>
      </c>
      <c r="G34" s="412">
        <f t="shared" si="0"/>
        <v>180.8</v>
      </c>
      <c r="H34" s="412">
        <f t="shared" si="0"/>
        <v>180.8</v>
      </c>
      <c r="I34" s="412">
        <f t="shared" si="0"/>
        <v>100.8</v>
      </c>
      <c r="J34" s="412">
        <f t="shared" ref="J34" si="1">SUM(J30:J33)</f>
        <v>100.8</v>
      </c>
    </row>
    <row r="35" spans="1:10" x14ac:dyDescent="0.2">
      <c r="A35" s="420"/>
      <c r="B35" s="432"/>
      <c r="C35" s="420"/>
      <c r="D35" s="420"/>
      <c r="E35" s="420"/>
      <c r="F35" s="420"/>
      <c r="G35" s="420"/>
      <c r="H35" s="420"/>
      <c r="I35" s="420"/>
      <c r="J35" s="12"/>
    </row>
    <row r="36" spans="1:10" x14ac:dyDescent="0.2">
      <c r="A36" s="421"/>
      <c r="B36" s="436"/>
      <c r="C36" s="420"/>
      <c r="D36" s="420"/>
      <c r="E36" s="420"/>
      <c r="F36" s="420"/>
      <c r="G36" s="420"/>
      <c r="H36" s="420"/>
      <c r="I36" s="420"/>
      <c r="J36" s="12"/>
    </row>
    <row r="37" spans="1:10" x14ac:dyDescent="0.2">
      <c r="A37" s="422"/>
      <c r="B37" s="437"/>
      <c r="C37" s="420"/>
      <c r="D37" s="420"/>
      <c r="E37" s="420"/>
      <c r="F37" s="420"/>
      <c r="G37" s="420"/>
      <c r="H37" s="420"/>
      <c r="I37" s="420"/>
      <c r="J37" s="12"/>
    </row>
    <row r="38" spans="1:10" x14ac:dyDescent="0.2">
      <c r="A38" s="423"/>
      <c r="B38" s="438"/>
      <c r="C38" s="420"/>
      <c r="D38" s="420"/>
      <c r="E38" s="420"/>
      <c r="F38" s="420"/>
      <c r="G38" s="420"/>
      <c r="H38" s="420"/>
      <c r="I38" s="420"/>
      <c r="J38" s="12"/>
    </row>
    <row r="39" spans="1:10" x14ac:dyDescent="0.2">
      <c r="A39" s="424"/>
      <c r="B39" s="439"/>
      <c r="C39" s="420"/>
      <c r="D39" s="420"/>
      <c r="E39" s="420"/>
      <c r="F39" s="420"/>
      <c r="G39" s="420"/>
      <c r="H39" s="420"/>
      <c r="I39" s="420"/>
      <c r="J39" s="1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7A53-6ECB-854A-BC45-28ECB39F96C8}">
  <sheetPr>
    <tabColor rgb="FF3D3D3D"/>
  </sheetPr>
  <dimension ref="A1:N51"/>
  <sheetViews>
    <sheetView showGridLines="0" zoomScaleNormal="100" workbookViewId="0">
      <pane xSplit="2" ySplit="3" topLeftCell="C23" activePane="bottomRight" state="frozen"/>
      <selection pane="topRight" activeCell="C1" sqref="C1"/>
      <selection pane="bottomLeft" activeCell="A4" sqref="A4"/>
      <selection pane="bottomRight" activeCell="G49" sqref="G49"/>
    </sheetView>
  </sheetViews>
  <sheetFormatPr baseColWidth="10" defaultRowHeight="15" x14ac:dyDescent="0.2"/>
  <cols>
    <col min="1" max="1" width="40.83203125" style="377" customWidth="1"/>
    <col min="2" max="2" width="5.83203125" style="211" customWidth="1"/>
    <col min="3" max="14" width="10.83203125" style="378" customWidth="1"/>
  </cols>
  <sheetData>
    <row r="1" spans="1:14" ht="20" x14ac:dyDescent="0.2">
      <c r="A1" s="539" t="s">
        <v>533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40"/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</row>
    <row r="3" spans="1:14" ht="16" x14ac:dyDescent="0.2">
      <c r="A3" s="357" t="s">
        <v>535</v>
      </c>
      <c r="B3" s="334"/>
      <c r="C3" s="358" t="s">
        <v>4</v>
      </c>
      <c r="D3" s="358" t="s">
        <v>5</v>
      </c>
      <c r="E3" s="358" t="s">
        <v>6</v>
      </c>
      <c r="F3" s="358" t="s">
        <v>7</v>
      </c>
      <c r="G3" s="358" t="s">
        <v>8</v>
      </c>
      <c r="H3" s="358" t="s">
        <v>9</v>
      </c>
      <c r="I3" s="358" t="s">
        <v>10</v>
      </c>
      <c r="J3" s="358" t="s">
        <v>11</v>
      </c>
      <c r="K3" s="358" t="s">
        <v>12</v>
      </c>
      <c r="L3" s="334" t="s">
        <v>170</v>
      </c>
      <c r="M3" s="334" t="s">
        <v>171</v>
      </c>
      <c r="N3" s="334" t="s">
        <v>172</v>
      </c>
    </row>
    <row r="4" spans="1:14" x14ac:dyDescent="0.2">
      <c r="A4" s="335" t="s">
        <v>120</v>
      </c>
      <c r="B4" s="350"/>
      <c r="C4" s="335"/>
      <c r="D4" s="335"/>
      <c r="E4" s="335"/>
      <c r="F4" s="335"/>
      <c r="G4" s="335"/>
      <c r="H4" s="335"/>
      <c r="I4" s="335"/>
      <c r="J4" s="335"/>
      <c r="K4" s="335"/>
      <c r="L4" s="359"/>
      <c r="M4" s="359"/>
      <c r="N4" s="359"/>
    </row>
    <row r="5" spans="1:14" x14ac:dyDescent="0.2">
      <c r="A5" s="337" t="s">
        <v>121</v>
      </c>
      <c r="B5" s="351" t="s">
        <v>199</v>
      </c>
      <c r="C5" s="360">
        <v>0</v>
      </c>
      <c r="D5" s="360">
        <v>0</v>
      </c>
      <c r="E5" s="360">
        <v>1437</v>
      </c>
      <c r="F5" s="360">
        <v>1437</v>
      </c>
      <c r="G5" s="360">
        <v>1437</v>
      </c>
      <c r="H5" s="360">
        <v>1437</v>
      </c>
      <c r="I5" s="360">
        <v>1270</v>
      </c>
      <c r="J5" s="456">
        <v>0</v>
      </c>
      <c r="K5" s="456">
        <v>0</v>
      </c>
      <c r="L5" s="456">
        <v>0</v>
      </c>
      <c r="M5" s="456">
        <v>0</v>
      </c>
      <c r="N5" s="456">
        <v>0</v>
      </c>
    </row>
    <row r="6" spans="1:14" x14ac:dyDescent="0.2">
      <c r="A6" s="339" t="s">
        <v>122</v>
      </c>
      <c r="B6" s="352" t="s">
        <v>199</v>
      </c>
      <c r="C6" s="361">
        <v>0</v>
      </c>
      <c r="D6" s="361">
        <v>0</v>
      </c>
      <c r="E6" s="361">
        <v>0</v>
      </c>
      <c r="F6" s="361">
        <v>0</v>
      </c>
      <c r="G6" s="361">
        <v>0</v>
      </c>
      <c r="H6" s="361">
        <v>0</v>
      </c>
      <c r="I6" s="361">
        <v>888</v>
      </c>
      <c r="J6" s="457">
        <v>888</v>
      </c>
      <c r="K6" s="457">
        <v>888</v>
      </c>
      <c r="L6" s="457">
        <v>888</v>
      </c>
      <c r="M6" s="457">
        <v>0</v>
      </c>
      <c r="N6" s="457">
        <v>0</v>
      </c>
    </row>
    <row r="7" spans="1:14" x14ac:dyDescent="0.2">
      <c r="A7" s="337" t="s">
        <v>123</v>
      </c>
      <c r="B7" s="351" t="s">
        <v>199</v>
      </c>
      <c r="C7" s="360">
        <v>0</v>
      </c>
      <c r="D7" s="360">
        <v>0</v>
      </c>
      <c r="E7" s="360">
        <v>0</v>
      </c>
      <c r="F7" s="360">
        <v>0</v>
      </c>
      <c r="G7" s="360">
        <v>0</v>
      </c>
      <c r="H7" s="360">
        <v>0</v>
      </c>
      <c r="I7" s="360">
        <v>1150</v>
      </c>
      <c r="J7" s="456">
        <v>1150</v>
      </c>
      <c r="K7" s="456">
        <v>1150</v>
      </c>
      <c r="L7" s="456">
        <v>1150</v>
      </c>
      <c r="M7" s="456">
        <v>1150</v>
      </c>
      <c r="N7" s="456">
        <v>0</v>
      </c>
    </row>
    <row r="8" spans="1:14" x14ac:dyDescent="0.2">
      <c r="A8" s="339" t="s">
        <v>124</v>
      </c>
      <c r="B8" s="352" t="s">
        <v>199</v>
      </c>
      <c r="C8" s="361">
        <v>0</v>
      </c>
      <c r="D8" s="361">
        <v>0</v>
      </c>
      <c r="E8" s="361">
        <v>0</v>
      </c>
      <c r="F8" s="361">
        <v>0</v>
      </c>
      <c r="G8" s="361">
        <v>0</v>
      </c>
      <c r="H8" s="361">
        <v>0</v>
      </c>
      <c r="I8" s="361">
        <v>1807</v>
      </c>
      <c r="J8" s="457">
        <v>1807</v>
      </c>
      <c r="K8" s="457">
        <v>1807</v>
      </c>
      <c r="L8" s="457">
        <v>1807</v>
      </c>
      <c r="M8" s="457">
        <v>1807</v>
      </c>
      <c r="N8" s="457">
        <v>1807</v>
      </c>
    </row>
    <row r="9" spans="1:14" x14ac:dyDescent="0.2">
      <c r="A9" s="337" t="s">
        <v>125</v>
      </c>
      <c r="B9" s="351" t="s">
        <v>199</v>
      </c>
      <c r="C9" s="360">
        <v>0</v>
      </c>
      <c r="D9" s="360">
        <v>0</v>
      </c>
      <c r="E9" s="360">
        <v>0</v>
      </c>
      <c r="F9" s="360">
        <v>0</v>
      </c>
      <c r="G9" s="360">
        <v>0</v>
      </c>
      <c r="H9" s="360">
        <v>0</v>
      </c>
      <c r="I9" s="360">
        <v>1000</v>
      </c>
      <c r="J9" s="456">
        <v>1000</v>
      </c>
      <c r="K9" s="456">
        <v>1000</v>
      </c>
      <c r="L9" s="456">
        <v>1000</v>
      </c>
      <c r="M9" s="456">
        <v>1000</v>
      </c>
      <c r="N9" s="456">
        <v>1000</v>
      </c>
    </row>
    <row r="10" spans="1:14" x14ac:dyDescent="0.2">
      <c r="A10" s="339" t="s">
        <v>126</v>
      </c>
      <c r="B10" s="352" t="s">
        <v>199</v>
      </c>
      <c r="C10" s="361">
        <v>494</v>
      </c>
      <c r="D10" s="361">
        <v>487</v>
      </c>
      <c r="E10" s="361">
        <v>0</v>
      </c>
      <c r="F10" s="361">
        <v>1962</v>
      </c>
      <c r="G10" s="361">
        <v>1910</v>
      </c>
      <c r="H10" s="361">
        <v>2655</v>
      </c>
      <c r="I10" s="361">
        <v>1544</v>
      </c>
      <c r="J10" s="362">
        <f>Assumptions!E92</f>
        <v>1275</v>
      </c>
      <c r="K10" s="362">
        <f>Assumptions!F92</f>
        <v>1005</v>
      </c>
      <c r="L10" s="362">
        <f>Assumptions!G92</f>
        <v>0</v>
      </c>
      <c r="M10" s="362">
        <f>Assumptions!H92</f>
        <v>0</v>
      </c>
      <c r="N10" s="362">
        <f>Assumptions!I92</f>
        <v>0</v>
      </c>
    </row>
    <row r="11" spans="1:14" x14ac:dyDescent="0.2">
      <c r="A11" s="343" t="s">
        <v>127</v>
      </c>
      <c r="B11" s="354" t="s">
        <v>199</v>
      </c>
      <c r="C11" s="344">
        <f t="shared" ref="C11:N11" si="0">SUM(C5:C10)</f>
        <v>494</v>
      </c>
      <c r="D11" s="344">
        <f t="shared" si="0"/>
        <v>487</v>
      </c>
      <c r="E11" s="344">
        <f t="shared" si="0"/>
        <v>1437</v>
      </c>
      <c r="F11" s="344">
        <f t="shared" si="0"/>
        <v>3399</v>
      </c>
      <c r="G11" s="344">
        <f t="shared" si="0"/>
        <v>3347</v>
      </c>
      <c r="H11" s="344">
        <f t="shared" si="0"/>
        <v>4092</v>
      </c>
      <c r="I11" s="344">
        <f t="shared" si="0"/>
        <v>7659</v>
      </c>
      <c r="J11" s="344">
        <f t="shared" si="0"/>
        <v>6120</v>
      </c>
      <c r="K11" s="344">
        <f t="shared" si="0"/>
        <v>5850</v>
      </c>
      <c r="L11" s="344">
        <f t="shared" si="0"/>
        <v>4845</v>
      </c>
      <c r="M11" s="344">
        <f t="shared" si="0"/>
        <v>3957</v>
      </c>
      <c r="N11" s="344">
        <f t="shared" si="0"/>
        <v>2807</v>
      </c>
    </row>
    <row r="12" spans="1:14" x14ac:dyDescent="0.2">
      <c r="A12" s="337" t="s">
        <v>128</v>
      </c>
      <c r="B12" s="351" t="s">
        <v>199</v>
      </c>
      <c r="C12" s="360">
        <v>0</v>
      </c>
      <c r="D12" s="360">
        <v>0</v>
      </c>
      <c r="E12" s="360">
        <v>0</v>
      </c>
      <c r="F12" s="360">
        <v>0</v>
      </c>
      <c r="G12" s="360">
        <v>345</v>
      </c>
      <c r="H12" s="360">
        <v>345</v>
      </c>
      <c r="I12" s="360">
        <v>1270</v>
      </c>
      <c r="J12" s="363">
        <f>Assumptions!E93</f>
        <v>0</v>
      </c>
      <c r="K12" s="363">
        <f>Assumptions!F93</f>
        <v>670</v>
      </c>
      <c r="L12" s="363">
        <f>Assumptions!G93</f>
        <v>0</v>
      </c>
      <c r="M12" s="363">
        <f>Assumptions!H93</f>
        <v>0</v>
      </c>
      <c r="N12" s="363">
        <f>Assumptions!I93</f>
        <v>1150</v>
      </c>
    </row>
    <row r="13" spans="1:14" x14ac:dyDescent="0.2">
      <c r="A13" s="343" t="s">
        <v>129</v>
      </c>
      <c r="B13" s="354" t="s">
        <v>199</v>
      </c>
      <c r="C13" s="344">
        <f t="shared" ref="C13:N13" si="1">C11-C12</f>
        <v>494</v>
      </c>
      <c r="D13" s="344">
        <f t="shared" si="1"/>
        <v>487</v>
      </c>
      <c r="E13" s="344">
        <f t="shared" si="1"/>
        <v>1437</v>
      </c>
      <c r="F13" s="344">
        <f t="shared" si="1"/>
        <v>3399</v>
      </c>
      <c r="G13" s="344">
        <f t="shared" si="1"/>
        <v>3002</v>
      </c>
      <c r="H13" s="344">
        <f t="shared" si="1"/>
        <v>3747</v>
      </c>
      <c r="I13" s="344">
        <f t="shared" si="1"/>
        <v>6389</v>
      </c>
      <c r="J13" s="344">
        <f t="shared" si="1"/>
        <v>6120</v>
      </c>
      <c r="K13" s="344">
        <f t="shared" si="1"/>
        <v>5180</v>
      </c>
      <c r="L13" s="344">
        <f t="shared" si="1"/>
        <v>4845</v>
      </c>
      <c r="M13" s="344">
        <f t="shared" si="1"/>
        <v>3957</v>
      </c>
      <c r="N13" s="344">
        <f t="shared" si="1"/>
        <v>1657</v>
      </c>
    </row>
    <row r="14" spans="1:14" x14ac:dyDescent="0.2">
      <c r="A14" s="348"/>
      <c r="B14" s="355"/>
      <c r="C14" s="348"/>
      <c r="D14" s="348"/>
      <c r="E14" s="348"/>
      <c r="F14" s="348"/>
      <c r="G14" s="348"/>
      <c r="H14" s="348"/>
      <c r="I14" s="348"/>
      <c r="J14" s="348"/>
      <c r="K14" s="348"/>
      <c r="L14" s="346"/>
      <c r="M14" s="346"/>
      <c r="N14" s="346"/>
    </row>
    <row r="15" spans="1:14" x14ac:dyDescent="0.2">
      <c r="A15" s="335" t="s">
        <v>130</v>
      </c>
      <c r="B15" s="350"/>
      <c r="C15" s="335"/>
      <c r="D15" s="335"/>
      <c r="E15" s="335"/>
      <c r="F15" s="335"/>
      <c r="G15" s="335"/>
      <c r="H15" s="335"/>
      <c r="I15" s="335"/>
      <c r="J15" s="335"/>
      <c r="K15" s="335"/>
      <c r="L15" s="359"/>
      <c r="M15" s="359"/>
      <c r="N15" s="359"/>
    </row>
    <row r="16" spans="1:14" x14ac:dyDescent="0.2">
      <c r="A16" s="337" t="s">
        <v>131</v>
      </c>
      <c r="B16" s="351" t="s">
        <v>199</v>
      </c>
      <c r="C16" s="360"/>
      <c r="D16" s="360">
        <v>494</v>
      </c>
      <c r="E16" s="360">
        <v>981</v>
      </c>
      <c r="F16" s="360">
        <v>2417</v>
      </c>
      <c r="G16" s="360">
        <v>5816</v>
      </c>
      <c r="H16" s="360">
        <v>9508</v>
      </c>
      <c r="I16" s="360">
        <v>14600</v>
      </c>
      <c r="J16" s="364">
        <f>I11</f>
        <v>7659</v>
      </c>
      <c r="K16" s="364">
        <f>J11</f>
        <v>6120</v>
      </c>
      <c r="L16" s="364">
        <f>K11</f>
        <v>5850</v>
      </c>
      <c r="M16" s="364">
        <f>L11</f>
        <v>4845</v>
      </c>
      <c r="N16" s="364">
        <f>M11</f>
        <v>3957</v>
      </c>
    </row>
    <row r="17" spans="1:14" x14ac:dyDescent="0.2">
      <c r="A17" s="339" t="s">
        <v>132</v>
      </c>
      <c r="B17" s="352" t="s">
        <v>199</v>
      </c>
      <c r="C17" s="361">
        <v>0</v>
      </c>
      <c r="D17" s="361">
        <v>5</v>
      </c>
      <c r="E17" s="361">
        <v>18</v>
      </c>
      <c r="F17" s="361">
        <v>40</v>
      </c>
      <c r="G17" s="361">
        <v>70</v>
      </c>
      <c r="H17" s="361">
        <v>81</v>
      </c>
      <c r="I17" s="361">
        <v>85</v>
      </c>
      <c r="J17" s="362">
        <f>Assumptions!E66*J16</f>
        <v>229.76999999999998</v>
      </c>
      <c r="K17" s="362">
        <f>Assumptions!F66*K16</f>
        <v>183.6</v>
      </c>
      <c r="L17" s="362">
        <f>Assumptions!G66*L16</f>
        <v>175.5</v>
      </c>
      <c r="M17" s="362">
        <f>Assumptions!H66*M16</f>
        <v>145.35</v>
      </c>
      <c r="N17" s="362">
        <f>Assumptions!I66*N16</f>
        <v>118.71</v>
      </c>
    </row>
    <row r="18" spans="1:14" x14ac:dyDescent="0.2">
      <c r="A18" s="345"/>
      <c r="B18" s="355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</row>
    <row r="19" spans="1:14" ht="16" x14ac:dyDescent="0.2">
      <c r="A19" s="357" t="s">
        <v>341</v>
      </c>
      <c r="B19" s="365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</row>
    <row r="20" spans="1:14" x14ac:dyDescent="0.2">
      <c r="A20" s="332" t="s">
        <v>133</v>
      </c>
      <c r="B20" s="356"/>
      <c r="C20" s="332"/>
      <c r="D20" s="332"/>
      <c r="E20" s="332"/>
      <c r="F20" s="332"/>
      <c r="G20" s="332"/>
      <c r="H20" s="332"/>
      <c r="I20" s="332"/>
      <c r="J20" s="332"/>
      <c r="K20" s="332"/>
      <c r="L20" s="367"/>
      <c r="M20" s="367"/>
      <c r="N20" s="367"/>
    </row>
    <row r="21" spans="1:14" x14ac:dyDescent="0.2">
      <c r="A21" s="337" t="s">
        <v>134</v>
      </c>
      <c r="B21" s="351" t="s">
        <v>199</v>
      </c>
      <c r="C21" s="456">
        <v>58</v>
      </c>
      <c r="D21" s="363">
        <f>'Balance Sheet'!C14</f>
        <v>171</v>
      </c>
      <c r="E21" s="363">
        <f>'Balance Sheet'!D14</f>
        <v>150</v>
      </c>
      <c r="F21" s="363">
        <f>'Balance Sheet'!E14</f>
        <v>158</v>
      </c>
      <c r="G21" s="363">
        <f>'Balance Sheet'!F14</f>
        <v>241</v>
      </c>
      <c r="H21" s="363">
        <f>'Balance Sheet'!G14</f>
        <v>193</v>
      </c>
      <c r="I21" s="363">
        <f>'Balance Sheet'!H14</f>
        <v>200</v>
      </c>
      <c r="J21" s="363">
        <f>'Balance Sheet'!I14</f>
        <v>406</v>
      </c>
      <c r="K21" s="364">
        <f t="shared" ref="K21:N21" si="2">J24</f>
        <v>353.85722000000004</v>
      </c>
      <c r="L21" s="364">
        <f t="shared" si="2"/>
        <v>364.13574900000003</v>
      </c>
      <c r="M21" s="364">
        <f t="shared" si="2"/>
        <v>390.6180870500001</v>
      </c>
      <c r="N21" s="364">
        <f t="shared" si="2"/>
        <v>431.05413917249996</v>
      </c>
    </row>
    <row r="22" spans="1:14" x14ac:dyDescent="0.2">
      <c r="A22" s="339" t="s">
        <v>103</v>
      </c>
      <c r="B22" s="352" t="s">
        <v>199</v>
      </c>
      <c r="C22" s="361">
        <v>17</v>
      </c>
      <c r="D22" s="361">
        <v>22</v>
      </c>
      <c r="E22" s="361">
        <v>111</v>
      </c>
      <c r="F22" s="361">
        <v>79</v>
      </c>
      <c r="G22" s="361">
        <v>111</v>
      </c>
      <c r="H22" s="361">
        <v>70</v>
      </c>
      <c r="I22" s="361">
        <v>75</v>
      </c>
      <c r="J22" s="362">
        <f>Assumptions!E89</f>
        <v>171.15722000000002</v>
      </c>
      <c r="K22" s="362">
        <f>Assumptions!F89</f>
        <v>204.9</v>
      </c>
      <c r="L22" s="362">
        <f>Assumptions!G89</f>
        <v>226.75700000000001</v>
      </c>
      <c r="M22" s="362">
        <f>Assumptions!H89</f>
        <v>255.27599999999998</v>
      </c>
      <c r="N22" s="362">
        <f>Assumptions!I89</f>
        <v>292.315</v>
      </c>
    </row>
    <row r="23" spans="1:14" x14ac:dyDescent="0.2">
      <c r="A23" s="337" t="s">
        <v>135</v>
      </c>
      <c r="B23" s="351" t="s">
        <v>199</v>
      </c>
      <c r="C23" s="360">
        <v>44</v>
      </c>
      <c r="D23" s="360">
        <v>51</v>
      </c>
      <c r="E23" s="360">
        <v>86</v>
      </c>
      <c r="F23" s="360">
        <v>126</v>
      </c>
      <c r="G23" s="360">
        <v>155</v>
      </c>
      <c r="H23" s="360">
        <v>120</v>
      </c>
      <c r="I23" s="360">
        <v>121</v>
      </c>
      <c r="J23" s="363">
        <f>Assumptions!E58</f>
        <v>223.3</v>
      </c>
      <c r="K23" s="363">
        <f>Assumptions!F58</f>
        <v>194.62147100000004</v>
      </c>
      <c r="L23" s="363">
        <f>Assumptions!G58</f>
        <v>200.27466195000002</v>
      </c>
      <c r="M23" s="363">
        <f>Assumptions!H58</f>
        <v>214.83994787750007</v>
      </c>
      <c r="N23" s="363">
        <f>Assumptions!I58</f>
        <v>237.07977654487499</v>
      </c>
    </row>
    <row r="24" spans="1:14" x14ac:dyDescent="0.2">
      <c r="A24" s="343" t="s">
        <v>136</v>
      </c>
      <c r="B24" s="354" t="s">
        <v>199</v>
      </c>
      <c r="C24" s="344">
        <f t="shared" ref="C24:N24" si="3">MAX(C21+C22-C23,0)</f>
        <v>31</v>
      </c>
      <c r="D24" s="344">
        <f t="shared" si="3"/>
        <v>142</v>
      </c>
      <c r="E24" s="344">
        <f t="shared" si="3"/>
        <v>175</v>
      </c>
      <c r="F24" s="344">
        <f t="shared" si="3"/>
        <v>111</v>
      </c>
      <c r="G24" s="344">
        <f t="shared" si="3"/>
        <v>197</v>
      </c>
      <c r="H24" s="344">
        <f t="shared" si="3"/>
        <v>143</v>
      </c>
      <c r="I24" s="344">
        <f t="shared" si="3"/>
        <v>154</v>
      </c>
      <c r="J24" s="344">
        <f t="shared" si="3"/>
        <v>353.85722000000004</v>
      </c>
      <c r="K24" s="344">
        <f t="shared" si="3"/>
        <v>364.13574900000003</v>
      </c>
      <c r="L24" s="344">
        <f t="shared" si="3"/>
        <v>390.6180870500001</v>
      </c>
      <c r="M24" s="344">
        <f t="shared" si="3"/>
        <v>431.05413917249996</v>
      </c>
      <c r="N24" s="344">
        <f t="shared" si="3"/>
        <v>486.28936262762488</v>
      </c>
    </row>
    <row r="25" spans="1:14" x14ac:dyDescent="0.2">
      <c r="A25" s="345" t="s">
        <v>534</v>
      </c>
      <c r="B25" s="355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</row>
    <row r="26" spans="1:14" x14ac:dyDescent="0.2">
      <c r="A26" s="345"/>
      <c r="B26" s="355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</row>
    <row r="27" spans="1:14" ht="16" x14ac:dyDescent="0.2">
      <c r="A27" s="357" t="s">
        <v>175</v>
      </c>
      <c r="B27" s="365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</row>
    <row r="28" spans="1:14" x14ac:dyDescent="0.2">
      <c r="A28" s="337" t="s">
        <v>602</v>
      </c>
      <c r="B28" s="351" t="s">
        <v>302</v>
      </c>
      <c r="C28" s="360">
        <v>225</v>
      </c>
      <c r="D28" s="360">
        <v>231</v>
      </c>
      <c r="E28" s="360">
        <v>240</v>
      </c>
      <c r="F28" s="360">
        <v>245</v>
      </c>
      <c r="G28" s="360">
        <v>245</v>
      </c>
      <c r="H28" s="360">
        <v>248</v>
      </c>
      <c r="I28" s="360">
        <v>256</v>
      </c>
      <c r="J28" s="364">
        <f>I28-J34</f>
        <v>250</v>
      </c>
      <c r="K28" s="364">
        <f>J28-K34</f>
        <v>244.54545454545453</v>
      </c>
      <c r="L28" s="364">
        <f>K28-L34</f>
        <v>239.54545454545453</v>
      </c>
      <c r="M28" s="364">
        <f>L28-M34</f>
        <v>234.93006993006992</v>
      </c>
      <c r="N28" s="364">
        <f>M28-N34</f>
        <v>230.64435564435564</v>
      </c>
    </row>
    <row r="29" spans="1:14" x14ac:dyDescent="0.2">
      <c r="A29" s="339" t="s">
        <v>603</v>
      </c>
      <c r="B29" s="352" t="s">
        <v>302</v>
      </c>
      <c r="C29" s="361">
        <v>225</v>
      </c>
      <c r="D29" s="361">
        <v>231</v>
      </c>
      <c r="E29" s="361">
        <v>263</v>
      </c>
      <c r="F29" s="361">
        <v>245</v>
      </c>
      <c r="G29" s="361">
        <v>253</v>
      </c>
      <c r="H29" s="361">
        <v>261</v>
      </c>
      <c r="I29" s="361">
        <v>287</v>
      </c>
      <c r="J29" s="368">
        <f>J28*(I29/I28)</f>
        <v>280.2734375</v>
      </c>
      <c r="K29" s="368">
        <f>K28*(I29/I28)</f>
        <v>274.15838068181819</v>
      </c>
      <c r="L29" s="368">
        <f>L28*(I29/I28)</f>
        <v>268.55291193181819</v>
      </c>
      <c r="M29" s="368">
        <f>M28*(I29/I28)</f>
        <v>263.37863308566432</v>
      </c>
      <c r="N29" s="368">
        <f>N28*(I29/I28)</f>
        <v>258.57394558566432</v>
      </c>
    </row>
    <row r="30" spans="1:14" x14ac:dyDescent="0.2">
      <c r="A30" s="348"/>
      <c r="B30" s="355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</row>
    <row r="31" spans="1:14" x14ac:dyDescent="0.2">
      <c r="A31" s="335" t="s">
        <v>176</v>
      </c>
      <c r="B31" s="350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</row>
    <row r="32" spans="1:14" x14ac:dyDescent="0.2">
      <c r="A32" s="337" t="s">
        <v>555</v>
      </c>
      <c r="B32" s="351" t="s">
        <v>199</v>
      </c>
      <c r="C32" s="360">
        <v>34</v>
      </c>
      <c r="D32" s="360">
        <v>33</v>
      </c>
      <c r="E32" s="360">
        <v>241</v>
      </c>
      <c r="F32" s="360">
        <v>674</v>
      </c>
      <c r="G32" s="360">
        <v>534</v>
      </c>
      <c r="H32" s="360">
        <v>767</v>
      </c>
      <c r="I32" s="360">
        <v>839</v>
      </c>
      <c r="J32" s="363">
        <f>'Income Statement'!J13*Assumptions!E55</f>
        <v>924.24898800000005</v>
      </c>
      <c r="K32" s="363">
        <f>'Income Statement'!K13*Assumptions!F55</f>
        <v>1004.01</v>
      </c>
      <c r="L32" s="363">
        <f>'Income Statement'!L13*Assumptions!G55</f>
        <v>1020.4065000000001</v>
      </c>
      <c r="M32" s="363">
        <f>'Income Statement'!M13*Assumptions!H55</f>
        <v>1084.923</v>
      </c>
      <c r="N32" s="363">
        <f>'Income Statement'!N13*Assumptions!I55</f>
        <v>1169.26</v>
      </c>
    </row>
    <row r="33" spans="1:14" x14ac:dyDescent="0.2">
      <c r="A33" s="337" t="s">
        <v>471</v>
      </c>
      <c r="B33" s="351" t="s">
        <v>199</v>
      </c>
      <c r="C33" s="360">
        <v>0</v>
      </c>
      <c r="D33" s="360">
        <v>0</v>
      </c>
      <c r="E33" s="360">
        <v>0</v>
      </c>
      <c r="F33" s="360">
        <v>800</v>
      </c>
      <c r="G33" s="360">
        <v>8</v>
      </c>
      <c r="H33" s="360">
        <v>426</v>
      </c>
      <c r="I33" s="360">
        <v>790</v>
      </c>
      <c r="J33" s="363">
        <f>Assumptions!E94</f>
        <v>1500</v>
      </c>
      <c r="K33" s="363">
        <f>Assumptions!F94</f>
        <v>1500</v>
      </c>
      <c r="L33" s="363">
        <f>Assumptions!G94</f>
        <v>1500</v>
      </c>
      <c r="M33" s="363">
        <f>Assumptions!H94</f>
        <v>1500</v>
      </c>
      <c r="N33" s="363">
        <f>Assumptions!I94</f>
        <v>1500</v>
      </c>
    </row>
    <row r="34" spans="1:14" x14ac:dyDescent="0.2">
      <c r="A34" s="339" t="s">
        <v>601</v>
      </c>
      <c r="B34" s="352" t="s">
        <v>302</v>
      </c>
      <c r="C34" s="361">
        <v>0</v>
      </c>
      <c r="D34" s="361">
        <v>0</v>
      </c>
      <c r="E34" s="361">
        <v>0</v>
      </c>
      <c r="F34" s="361">
        <v>8.1</v>
      </c>
      <c r="G34" s="361">
        <v>0.1</v>
      </c>
      <c r="H34" s="361">
        <v>3.9</v>
      </c>
      <c r="I34" s="361">
        <v>12.7</v>
      </c>
      <c r="J34" s="368">
        <f>J33/250</f>
        <v>6</v>
      </c>
      <c r="K34" s="368">
        <f>K33/275</f>
        <v>5.4545454545454541</v>
      </c>
      <c r="L34" s="368">
        <f>L33/300</f>
        <v>5</v>
      </c>
      <c r="M34" s="368">
        <f>M33/325</f>
        <v>4.615384615384615</v>
      </c>
      <c r="N34" s="368">
        <f>N33/350</f>
        <v>4.2857142857142856</v>
      </c>
    </row>
    <row r="35" spans="1:14" x14ac:dyDescent="0.2">
      <c r="A35" s="348"/>
      <c r="B35" s="355"/>
      <c r="C35" s="348"/>
      <c r="D35" s="348"/>
      <c r="E35" s="348"/>
      <c r="F35" s="348"/>
      <c r="G35" s="348"/>
      <c r="H35" s="348"/>
      <c r="I35" s="348"/>
      <c r="J35" s="348"/>
      <c r="K35" s="348"/>
      <c r="L35" s="348"/>
      <c r="M35" s="348"/>
      <c r="N35" s="348"/>
    </row>
    <row r="36" spans="1:14" ht="16" x14ac:dyDescent="0.2">
      <c r="A36" s="357" t="s">
        <v>342</v>
      </c>
      <c r="B36" s="365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</row>
    <row r="37" spans="1:14" x14ac:dyDescent="0.2">
      <c r="A37" s="335" t="s">
        <v>177</v>
      </c>
      <c r="B37" s="350"/>
      <c r="C37" s="335"/>
      <c r="D37" s="335"/>
      <c r="E37" s="335"/>
      <c r="F37" s="335"/>
      <c r="G37" s="335"/>
      <c r="H37" s="335"/>
      <c r="I37" s="335"/>
      <c r="J37" s="335"/>
      <c r="K37" s="335"/>
      <c r="L37" s="359"/>
      <c r="M37" s="359"/>
      <c r="N37" s="359"/>
    </row>
    <row r="38" spans="1:14" x14ac:dyDescent="0.2">
      <c r="A38" s="337" t="s">
        <v>178</v>
      </c>
      <c r="B38" s="351" t="s">
        <v>199</v>
      </c>
      <c r="C38" s="360">
        <v>28</v>
      </c>
      <c r="D38" s="360">
        <v>19</v>
      </c>
      <c r="E38" s="360">
        <v>138</v>
      </c>
      <c r="F38" s="360">
        <v>148</v>
      </c>
      <c r="G38" s="360">
        <v>259</v>
      </c>
      <c r="H38" s="360">
        <v>350</v>
      </c>
      <c r="I38" s="360">
        <v>307</v>
      </c>
      <c r="J38" s="363">
        <f>'Income Statement'!J13/365*Assumptions!E71</f>
        <v>351.69291780821925</v>
      </c>
      <c r="K38" s="363">
        <f>'Income Statement'!K13/365*Assumptions!F71</f>
        <v>392.95890410958907</v>
      </c>
      <c r="L38" s="363">
        <f>'Income Statement'!L13/365*Assumptions!G71</f>
        <v>403.81383561643838</v>
      </c>
      <c r="M38" s="363">
        <f>'Income Statement'!M13/365*Assumptions!H71</f>
        <v>419.63178082191774</v>
      </c>
      <c r="N38" s="363">
        <f>'Income Statement'!N13/365*Assumptions!I71</f>
        <v>480.51780821917805</v>
      </c>
    </row>
    <row r="39" spans="1:14" x14ac:dyDescent="0.2">
      <c r="A39" s="339" t="s">
        <v>179</v>
      </c>
      <c r="B39" s="352" t="s">
        <v>199</v>
      </c>
      <c r="C39" s="361">
        <v>85</v>
      </c>
      <c r="D39" s="361">
        <v>79</v>
      </c>
      <c r="E39" s="361">
        <v>291</v>
      </c>
      <c r="F39" s="361">
        <v>263</v>
      </c>
      <c r="G39" s="361">
        <v>367</v>
      </c>
      <c r="H39" s="361">
        <v>606</v>
      </c>
      <c r="I39" s="361">
        <v>891</v>
      </c>
      <c r="J39" s="362">
        <f>Assumptions!E80</f>
        <v>2200</v>
      </c>
      <c r="K39" s="362">
        <f>Assumptions!F80</f>
        <v>2200</v>
      </c>
      <c r="L39" s="362">
        <f>Assumptions!G80</f>
        <v>2200</v>
      </c>
      <c r="M39" s="362">
        <f>Assumptions!H80</f>
        <v>2200</v>
      </c>
      <c r="N39" s="362">
        <f>Assumptions!I80</f>
        <v>2200</v>
      </c>
    </row>
    <row r="40" spans="1:14" x14ac:dyDescent="0.2">
      <c r="A40" s="337" t="s">
        <v>180</v>
      </c>
      <c r="B40" s="351" t="s">
        <v>199</v>
      </c>
      <c r="C40" s="360">
        <v>36</v>
      </c>
      <c r="D40" s="360">
        <v>27</v>
      </c>
      <c r="E40" s="360">
        <v>137</v>
      </c>
      <c r="F40" s="360">
        <v>202</v>
      </c>
      <c r="G40" s="360">
        <v>265</v>
      </c>
      <c r="H40" s="360">
        <v>413</v>
      </c>
      <c r="I40" s="360">
        <v>357</v>
      </c>
      <c r="J40" s="363">
        <f>'Income Statement'!J16/365*Assumptions!E73</f>
        <v>55.801942958904114</v>
      </c>
      <c r="K40" s="363">
        <f>'Income Statement'!K16/365*Assumptions!F73</f>
        <v>61.526136986301374</v>
      </c>
      <c r="L40" s="363">
        <f>Assumptions!G72</f>
        <v>62.435831506849325</v>
      </c>
      <c r="M40" s="363">
        <f>Assumptions!H72</f>
        <v>64.623294246575341</v>
      </c>
      <c r="N40" s="363">
        <f>Assumptions!I72</f>
        <v>72.878534246575342</v>
      </c>
    </row>
    <row r="41" spans="1:14" x14ac:dyDescent="0.2">
      <c r="A41" s="339" t="s">
        <v>181</v>
      </c>
      <c r="B41" s="352" t="s">
        <v>199</v>
      </c>
      <c r="C41" s="361">
        <v>110</v>
      </c>
      <c r="D41" s="361">
        <v>93</v>
      </c>
      <c r="E41" s="361">
        <v>375</v>
      </c>
      <c r="F41" s="361">
        <v>420</v>
      </c>
      <c r="G41" s="361">
        <v>511</v>
      </c>
      <c r="H41" s="361">
        <v>772</v>
      </c>
      <c r="I41" s="361">
        <v>800</v>
      </c>
      <c r="J41" s="362">
        <f>Assumptions!E74</f>
        <v>816.4244394000001</v>
      </c>
      <c r="K41" s="362">
        <f>Assumptions!F74</f>
        <v>872.00752499999999</v>
      </c>
      <c r="L41" s="362">
        <f>Assumptions!G74</f>
        <v>841.27266999999995</v>
      </c>
      <c r="M41" s="362">
        <f>Assumptions!H74</f>
        <v>920.27418</v>
      </c>
      <c r="N41" s="362">
        <f>Assumptions!I74</f>
        <v>1023.1067</v>
      </c>
    </row>
    <row r="42" spans="1:14" x14ac:dyDescent="0.2">
      <c r="A42" s="343" t="s">
        <v>182</v>
      </c>
      <c r="B42" s="354" t="s">
        <v>199</v>
      </c>
      <c r="C42" s="344">
        <f t="shared" ref="C42:N42" si="4">C38+C39-C40-C41</f>
        <v>-33</v>
      </c>
      <c r="D42" s="344">
        <f t="shared" si="4"/>
        <v>-22</v>
      </c>
      <c r="E42" s="344">
        <f t="shared" si="4"/>
        <v>-83</v>
      </c>
      <c r="F42" s="344">
        <f t="shared" si="4"/>
        <v>-211</v>
      </c>
      <c r="G42" s="344">
        <f t="shared" si="4"/>
        <v>-150</v>
      </c>
      <c r="H42" s="344">
        <f t="shared" si="4"/>
        <v>-229</v>
      </c>
      <c r="I42" s="344">
        <f t="shared" si="4"/>
        <v>41</v>
      </c>
      <c r="J42" s="344">
        <f t="shared" si="4"/>
        <v>1679.466535449315</v>
      </c>
      <c r="K42" s="344">
        <f t="shared" si="4"/>
        <v>1659.4252421232877</v>
      </c>
      <c r="L42" s="344">
        <f t="shared" si="4"/>
        <v>1700.105334109589</v>
      </c>
      <c r="M42" s="344">
        <f t="shared" si="4"/>
        <v>1634.7343065753425</v>
      </c>
      <c r="N42" s="344">
        <f t="shared" si="4"/>
        <v>1584.5325739726024</v>
      </c>
    </row>
    <row r="43" spans="1:14" x14ac:dyDescent="0.2">
      <c r="A43" s="348"/>
      <c r="B43" s="355"/>
      <c r="C43" s="349"/>
      <c r="D43" s="349"/>
      <c r="E43" s="349"/>
      <c r="F43" s="349"/>
      <c r="G43" s="349"/>
      <c r="H43" s="349"/>
      <c r="I43" s="349"/>
      <c r="J43" s="349"/>
      <c r="K43" s="349"/>
      <c r="L43" s="346"/>
      <c r="M43" s="346"/>
      <c r="N43" s="346"/>
    </row>
    <row r="44" spans="1:14" ht="16" x14ac:dyDescent="0.2">
      <c r="A44" s="357" t="s">
        <v>343</v>
      </c>
      <c r="B44" s="365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</row>
    <row r="45" spans="1:14" x14ac:dyDescent="0.2">
      <c r="A45" s="332" t="s">
        <v>185</v>
      </c>
      <c r="B45" s="356"/>
      <c r="C45" s="369"/>
      <c r="D45" s="369"/>
      <c r="E45" s="369"/>
      <c r="F45" s="369"/>
      <c r="G45" s="369"/>
      <c r="H45" s="369"/>
      <c r="I45" s="369"/>
      <c r="J45" s="369"/>
      <c r="K45" s="369"/>
      <c r="L45" s="370"/>
      <c r="M45" s="370"/>
      <c r="N45" s="370"/>
    </row>
    <row r="46" spans="1:14" x14ac:dyDescent="0.2">
      <c r="A46" s="371" t="s">
        <v>186</v>
      </c>
      <c r="B46" s="334"/>
      <c r="C46" s="372" t="s">
        <v>4</v>
      </c>
      <c r="D46" s="372" t="s">
        <v>5</v>
      </c>
      <c r="E46" s="372" t="s">
        <v>6</v>
      </c>
      <c r="F46" s="372" t="s">
        <v>7</v>
      </c>
      <c r="G46" s="372" t="s">
        <v>8</v>
      </c>
      <c r="H46" s="372" t="s">
        <v>9</v>
      </c>
      <c r="I46" s="372" t="s">
        <v>10</v>
      </c>
      <c r="J46" s="372" t="s">
        <v>11</v>
      </c>
      <c r="K46" s="372" t="s">
        <v>12</v>
      </c>
      <c r="L46" s="373" t="s">
        <v>170</v>
      </c>
      <c r="M46" s="373" t="s">
        <v>171</v>
      </c>
      <c r="N46" s="373" t="s">
        <v>172</v>
      </c>
    </row>
    <row r="47" spans="1:14" x14ac:dyDescent="0.2">
      <c r="A47" s="335" t="s">
        <v>187</v>
      </c>
      <c r="B47" s="350"/>
      <c r="C47" s="374"/>
      <c r="D47" s="374"/>
      <c r="E47" s="374"/>
      <c r="F47" s="374"/>
      <c r="G47" s="374"/>
      <c r="H47" s="374"/>
      <c r="I47" s="374"/>
      <c r="J47" s="374"/>
      <c r="K47" s="374"/>
      <c r="L47" s="375"/>
      <c r="M47" s="375"/>
      <c r="N47" s="375"/>
    </row>
    <row r="48" spans="1:14" x14ac:dyDescent="0.2">
      <c r="A48" s="337" t="s">
        <v>188</v>
      </c>
      <c r="B48" s="351" t="s">
        <v>199</v>
      </c>
      <c r="C48" s="360">
        <v>14</v>
      </c>
      <c r="D48" s="360">
        <v>-12</v>
      </c>
      <c r="E48" s="360">
        <v>36</v>
      </c>
      <c r="F48" s="360">
        <v>109</v>
      </c>
      <c r="G48" s="360">
        <v>25</v>
      </c>
      <c r="H48" s="360">
        <v>199</v>
      </c>
      <c r="I48" s="360">
        <v>261</v>
      </c>
      <c r="J48" s="363">
        <f>'Income Statement'!J39*Assumptions!E67</f>
        <v>354.30378143999997</v>
      </c>
      <c r="K48" s="363">
        <f>'Income Statement'!K39*Assumptions!F67</f>
        <v>555.23789999999985</v>
      </c>
      <c r="L48" s="363">
        <f>'Income Statement'!L40</f>
        <v>799.9860960000002</v>
      </c>
      <c r="M48" s="363">
        <f>'Income Statement'!M40</f>
        <v>946.16789400000005</v>
      </c>
      <c r="N48" s="363">
        <f>'Income Statement'!N40</f>
        <v>1135.631175</v>
      </c>
    </row>
    <row r="49" spans="1:14" x14ac:dyDescent="0.2">
      <c r="A49" s="339" t="s">
        <v>189</v>
      </c>
      <c r="B49" s="352" t="s">
        <v>195</v>
      </c>
      <c r="C49" s="376">
        <f>IFERROR('Income Statement'!C40/'Income Statement'!C39,"—")</f>
        <v>0.33091861898890201</v>
      </c>
      <c r="D49" s="376">
        <f>IFERROR('Income Statement'!D40/'Income Statement'!D39,"—")</f>
        <v>0.21232212199932063</v>
      </c>
      <c r="E49" s="376">
        <f>IFERROR('Income Statement'!E40/'Income Statement'!E39,"—")</f>
        <v>-0.19728558180899758</v>
      </c>
      <c r="F49" s="376">
        <f>IFERROR('Income Statement'!F40/'Income Statement'!F39,"—")</f>
        <v>0.14345610592243904</v>
      </c>
      <c r="G49" s="376">
        <f>IFERROR('Income Statement'!G40/'Income Statement'!G39,"—")</f>
        <v>2.2345760947361621</v>
      </c>
      <c r="H49" s="376">
        <f>IFERROR('Income Statement'!H40/'Income Statement'!H39,"—")</f>
        <v>0.12355487106153512</v>
      </c>
      <c r="I49" s="376">
        <f>IFERROR('Income Statement'!I40/'Income Statement'!I39,"—")</f>
        <v>0.17196243261621569</v>
      </c>
      <c r="J49" s="376">
        <f>IFERROR(J48/'Income Statement'!J39,"—")</f>
        <v>0.21</v>
      </c>
      <c r="K49" s="376">
        <f>IFERROR(K48/'Income Statement'!K39,"—")</f>
        <v>0.21</v>
      </c>
      <c r="L49" s="376">
        <f>IFERROR('Income Statement'!L40/'Income Statement'!L39,"—")</f>
        <v>0.21</v>
      </c>
      <c r="M49" s="376">
        <f>IFERROR('Income Statement'!M40/'Income Statement'!M39,"—")</f>
        <v>0.21</v>
      </c>
      <c r="N49" s="376">
        <f>IFERROR('Income Statement'!N40/'Income Statement'!N39,"—")</f>
        <v>0.21</v>
      </c>
    </row>
    <row r="50" spans="1:14" x14ac:dyDescent="0.2">
      <c r="A50" s="337" t="s">
        <v>190</v>
      </c>
      <c r="B50" s="351" t="s">
        <v>199</v>
      </c>
      <c r="C50" s="360">
        <v>0</v>
      </c>
      <c r="D50" s="360">
        <v>0</v>
      </c>
      <c r="E50" s="360">
        <v>193</v>
      </c>
      <c r="F50" s="360">
        <v>316</v>
      </c>
      <c r="G50" s="360">
        <v>559</v>
      </c>
      <c r="H50" s="360">
        <v>589</v>
      </c>
      <c r="I50" s="360">
        <v>571</v>
      </c>
      <c r="J50" s="363">
        <f>I50+Assumptions!E86</f>
        <v>521</v>
      </c>
      <c r="K50" s="363">
        <f>J50+Assumptions!F86</f>
        <v>471</v>
      </c>
      <c r="L50" s="363">
        <f>K50+Assumptions!G86</f>
        <v>421</v>
      </c>
      <c r="M50" s="363">
        <f>L50+Assumptions!H86</f>
        <v>371</v>
      </c>
      <c r="N50" s="363">
        <f>M50+Assumptions!I86</f>
        <v>321</v>
      </c>
    </row>
    <row r="51" spans="1:14" x14ac:dyDescent="0.2">
      <c r="A51" s="339" t="s">
        <v>191</v>
      </c>
      <c r="B51" s="352" t="s">
        <v>199</v>
      </c>
      <c r="C51" s="368">
        <f ca="1">IFERROR(C50-OFFSET(C50,0,-1),0)</f>
        <v>0</v>
      </c>
      <c r="D51" s="368">
        <f t="shared" ref="D51:N51" si="5">D50-C50</f>
        <v>0</v>
      </c>
      <c r="E51" s="368">
        <f t="shared" si="5"/>
        <v>193</v>
      </c>
      <c r="F51" s="368">
        <f t="shared" si="5"/>
        <v>123</v>
      </c>
      <c r="G51" s="368">
        <f t="shared" si="5"/>
        <v>243</v>
      </c>
      <c r="H51" s="368">
        <f t="shared" si="5"/>
        <v>30</v>
      </c>
      <c r="I51" s="368">
        <f t="shared" si="5"/>
        <v>-18</v>
      </c>
      <c r="J51" s="368">
        <f t="shared" si="5"/>
        <v>-50</v>
      </c>
      <c r="K51" s="368">
        <f t="shared" si="5"/>
        <v>-50</v>
      </c>
      <c r="L51" s="368">
        <f t="shared" si="5"/>
        <v>-50</v>
      </c>
      <c r="M51" s="368">
        <f t="shared" si="5"/>
        <v>-50</v>
      </c>
      <c r="N51" s="368">
        <f t="shared" si="5"/>
        <v>-50</v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Assumptions</vt:lpstr>
      <vt:lpstr>Income Statement</vt:lpstr>
      <vt:lpstr>Balance Sheet</vt:lpstr>
      <vt:lpstr>Cash Flow Statement</vt:lpstr>
      <vt:lpstr>DCF Model</vt:lpstr>
      <vt:lpstr>USDC Scenarios</vt:lpstr>
      <vt:lpstr>Deribit Acquisition</vt:lpstr>
      <vt:lpstr>Supporting Schedules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lzweig</dc:creator>
  <dc:description/>
  <cp:lastModifiedBy>Siddhant Shah</cp:lastModifiedBy>
  <cp:revision>0</cp:revision>
  <dcterms:created xsi:type="dcterms:W3CDTF">2013-04-03T15:49:21Z</dcterms:created>
  <dcterms:modified xsi:type="dcterms:W3CDTF">2026-03-11T03:03:24Z</dcterms:modified>
  <dc:language>en-US</dc:language>
</cp:coreProperties>
</file>